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חוברת_עבודה_זו"/>
  <xr:revisionPtr revIDLastSave="0" documentId="8_{2147FED1-1220-445B-ADC6-170679FB8105}" xr6:coauthVersionLast="47" xr6:coauthVersionMax="47" xr10:uidLastSave="{00000000-0000-0000-0000-000000000000}"/>
  <bookViews>
    <workbookView xWindow="-120" yWindow="-120" windowWidth="29040" windowHeight="15840" tabRatio="941" firstSheet="1" activeTab="1" xr2:uid="{00000000-000D-0000-FFFF-FFFF00000000}"/>
  </bookViews>
  <sheets>
    <sheet name="נספח לאוצר" sheetId="38" state="hidden" r:id="rId1"/>
    <sheet name="מאוחד" sheetId="43" r:id="rId2"/>
    <sheet name="מסלולי לבני 50-60" sheetId="2" r:id="rId3"/>
    <sheet name="מסלול לבני 50 ומטה" sheetId="41" r:id="rId4"/>
    <sheet name="מסלול לבני 60 ומעלה" sheetId="40" r:id="rId5"/>
    <sheet name="מסלול ללא מניות" sheetId="39" r:id="rId6"/>
    <sheet name="מסלול מניות" sheetId="42" r:id="rId7"/>
    <sheet name="נספח 2" sheetId="3" r:id="rId8"/>
    <sheet name="נספח 3" sheetId="4" r:id="rId9"/>
  </sheets>
  <externalReferences>
    <externalReference r:id="rId10"/>
  </externalReferences>
  <definedNames>
    <definedName name="_xlnm._FilterDatabase" localSheetId="0" hidden="1">'נספח לאוצר'!$A$1:$D$6</definedName>
    <definedName name="AFIK" localSheetId="1">#REF!</definedName>
    <definedName name="AFIK" localSheetId="3">#REF!</definedName>
    <definedName name="AFIK" localSheetId="4">#REF!</definedName>
    <definedName name="AFIK" localSheetId="5">#REF!</definedName>
    <definedName name="AFIK" localSheetId="6">#REF!</definedName>
    <definedName name="AFIK">#REF!</definedName>
    <definedName name="AFIK_KOD" localSheetId="1">#REF!</definedName>
    <definedName name="AFIK_KOD" localSheetId="3">#REF!</definedName>
    <definedName name="AFIK_KOD" localSheetId="4">#REF!</definedName>
    <definedName name="AFIK_KOD" localSheetId="5">#REF!</definedName>
    <definedName name="AFIK_KOD" localSheetId="6">#REF!</definedName>
    <definedName name="AFIK_KOD">#REF!</definedName>
    <definedName name="AFIK_SUM" localSheetId="1">#REF!</definedName>
    <definedName name="AFIK_SUM" localSheetId="3">#REF!</definedName>
    <definedName name="AFIK_SUM" localSheetId="4">#REF!</definedName>
    <definedName name="AFIK_SUM" localSheetId="5">#REF!</definedName>
    <definedName name="AFIK_SUM" localSheetId="6">#REF!</definedName>
    <definedName name="AFIK_SUM">#REF!</definedName>
    <definedName name="AFIK_SUM_NAME" localSheetId="1">#REF!</definedName>
    <definedName name="AFIK_SUM_NAME" localSheetId="3">#REF!</definedName>
    <definedName name="AFIK_SUM_NAME" localSheetId="4">#REF!</definedName>
    <definedName name="AFIK_SUM_NAME" localSheetId="5">#REF!</definedName>
    <definedName name="AFIK_SUM_NAME" localSheetId="6">#REF!</definedName>
    <definedName name="AFIK_SUM_NAME">#REF!</definedName>
    <definedName name="BROK_KASHUR" localSheetId="1">#REF!</definedName>
    <definedName name="BROK_KASHUR" localSheetId="3">#REF!</definedName>
    <definedName name="BROK_KASHUR" localSheetId="4">#REF!</definedName>
    <definedName name="BROK_KASHUR" localSheetId="5">#REF!</definedName>
    <definedName name="BROK_KASHUR" localSheetId="6">#REF!</definedName>
    <definedName name="BROK_KASHUR">#REF!</definedName>
    <definedName name="Castod">'[1]הפעלה דוח הוצאות ישירות'!$D$7</definedName>
    <definedName name="checkState" localSheetId="1">#REF!</definedName>
    <definedName name="checkState" localSheetId="3">#REF!</definedName>
    <definedName name="checkState" localSheetId="4">#REF!</definedName>
    <definedName name="checkState" localSheetId="5">#REF!</definedName>
    <definedName name="checkState" localSheetId="6">#REF!</definedName>
    <definedName name="checkState">#REF!</definedName>
    <definedName name="comp_name">'[1]הפעלה דוח הוצאות ישירות'!$D$3</definedName>
    <definedName name="currentValue" localSheetId="1">#REF!</definedName>
    <definedName name="currentValue" localSheetId="3">#REF!</definedName>
    <definedName name="currentValue" localSheetId="4">#REF!</definedName>
    <definedName name="currentValue" localSheetId="5">#REF!</definedName>
    <definedName name="currentValue" localSheetId="6">#REF!</definedName>
    <definedName name="currentValue">#REF!</definedName>
    <definedName name="Custody1" localSheetId="1">#REF!</definedName>
    <definedName name="Custody1" localSheetId="3">#REF!</definedName>
    <definedName name="Custody1" localSheetId="4">#REF!</definedName>
    <definedName name="Custody1" localSheetId="5">#REF!</definedName>
    <definedName name="Custody1" localSheetId="6">#REF!</definedName>
    <definedName name="Custody1">#REF!</definedName>
    <definedName name="Date1" localSheetId="1">#REF!</definedName>
    <definedName name="Date1" localSheetId="3">#REF!</definedName>
    <definedName name="Date1" localSheetId="4">#REF!</definedName>
    <definedName name="Date1" localSheetId="5">#REF!</definedName>
    <definedName name="Date1" localSheetId="6">#REF!</definedName>
    <definedName name="Date1">#REF!</definedName>
    <definedName name="FORMULA" localSheetId="1">#REF!</definedName>
    <definedName name="FORMULA" localSheetId="3">#REF!</definedName>
    <definedName name="FORMULA" localSheetId="4">#REF!</definedName>
    <definedName name="FORMULA" localSheetId="5">#REF!</definedName>
    <definedName name="FORMULA" localSheetId="6">#REF!</definedName>
    <definedName name="FORMULA">#REF!</definedName>
    <definedName name="KRANOT_KASHUR" localSheetId="1">#REF!</definedName>
    <definedName name="KRANOT_KASHUR" localSheetId="3">#REF!</definedName>
    <definedName name="KRANOT_KASHUR" localSheetId="4">#REF!</definedName>
    <definedName name="KRANOT_KASHUR" localSheetId="5">#REF!</definedName>
    <definedName name="KRANOT_KASHUR" localSheetId="6">#REF!</definedName>
    <definedName name="KRANOT_KASHUR">#REF!</definedName>
    <definedName name="Kupa1" localSheetId="1">#REF!</definedName>
    <definedName name="Kupa1" localSheetId="3">#REF!</definedName>
    <definedName name="Kupa1" localSheetId="4">#REF!</definedName>
    <definedName name="Kupa1" localSheetId="5">#REF!</definedName>
    <definedName name="Kupa1" localSheetId="6">#REF!</definedName>
    <definedName name="Kupa1">#REF!</definedName>
    <definedName name="kupaNoga" localSheetId="1">OFFSET(#REF!,0,0,COUNTA(#REF!)-1,1)</definedName>
    <definedName name="kupaNoga" localSheetId="3">OFFSET(#REF!,0,0,COUNTA(#REF!)-1,1)</definedName>
    <definedName name="kupaNoga" localSheetId="4">OFFSET(#REF!,0,0,COUNTA(#REF!)-1,1)</definedName>
    <definedName name="kupaNoga" localSheetId="5">OFFSET(#REF!,0,0,COUNTA(#REF!)-1,1)</definedName>
    <definedName name="kupaNoga" localSheetId="6">OFFSET(#REF!,0,0,COUNTA(#REF!)-1,1)</definedName>
    <definedName name="kupaNoga">OFFSET(#REF!,0,0,COUNTA(#REF!)-1,1)</definedName>
    <definedName name="MaslulNoga" localSheetId="1">OFFSET(#REF!,0,0,COUNTA(#REF!)-1,1)</definedName>
    <definedName name="MaslulNoga" localSheetId="3">OFFSET(#REF!,0,0,COUNTA(#REF!)-1,1)</definedName>
    <definedName name="MaslulNoga" localSheetId="4">OFFSET(#REF!,0,0,COUNTA(#REF!)-1,1)</definedName>
    <definedName name="MaslulNoga" localSheetId="5">OFFSET(#REF!,0,0,COUNTA(#REF!)-1,1)</definedName>
    <definedName name="MaslulNoga" localSheetId="6">OFFSET(#REF!,0,0,COUNTA(#REF!)-1,1)</definedName>
    <definedName name="MaslulNoga">OFFSET(#REF!,0,0,COUNTA(#REF!)-1,1)</definedName>
    <definedName name="mngCompany" localSheetId="1">#REF!</definedName>
    <definedName name="mngCompany" localSheetId="3">#REF!</definedName>
    <definedName name="mngCompany" localSheetId="4">#REF!</definedName>
    <definedName name="mngCompany" localSheetId="5">#REF!</definedName>
    <definedName name="mngCompany" localSheetId="6">#REF!</definedName>
    <definedName name="mngCompany">#REF!</definedName>
    <definedName name="mngNum" localSheetId="1">#REF!</definedName>
    <definedName name="mngNum" localSheetId="3">#REF!</definedName>
    <definedName name="mngNum" localSheetId="4">#REF!</definedName>
    <definedName name="mngNum" localSheetId="5">#REF!</definedName>
    <definedName name="mngNum" localSheetId="6">#REF!</definedName>
    <definedName name="mngNum">#REF!</definedName>
    <definedName name="pathDE" localSheetId="1">#REF!</definedName>
    <definedName name="pathDE" localSheetId="3">#REF!</definedName>
    <definedName name="pathDE" localSheetId="4">#REF!</definedName>
    <definedName name="pathDE" localSheetId="5">#REF!</definedName>
    <definedName name="pathDE" localSheetId="6">#REF!</definedName>
    <definedName name="pathDE">#REF!</definedName>
    <definedName name="pathLastDE" localSheetId="1">#REF!</definedName>
    <definedName name="pathLastDE" localSheetId="3">#REF!</definedName>
    <definedName name="pathLastDE" localSheetId="4">#REF!</definedName>
    <definedName name="pathLastDE" localSheetId="5">#REF!</definedName>
    <definedName name="pathLastDE" localSheetId="6">#REF!</definedName>
    <definedName name="pathLastDE">#REF!</definedName>
    <definedName name="savePath" localSheetId="1">#REF!</definedName>
    <definedName name="savePath" localSheetId="3">#REF!</definedName>
    <definedName name="savePath" localSheetId="4">#REF!</definedName>
    <definedName name="savePath" localSheetId="5">#REF!</definedName>
    <definedName name="savePath" localSheetId="6">#REF!</definedName>
    <definedName name="savePath">#REF!</definedName>
    <definedName name="SUG_MUZAR">'[1]הפעלה דוח הוצאות ישירות'!$D$4</definedName>
    <definedName name="to_date">'[1]הפעלה דוח הוצאות ישירות'!$D$5</definedName>
    <definedName name="toggleValue" localSheetId="1">#REF!</definedName>
    <definedName name="toggleValue" localSheetId="3">#REF!</definedName>
    <definedName name="toggleValue" localSheetId="4">#REF!</definedName>
    <definedName name="toggleValue" localSheetId="5">#REF!</definedName>
    <definedName name="toggleValue" localSheetId="6">#REF!</definedName>
    <definedName name="toggleValue">#REF!</definedName>
    <definedName name="TT_AFIK_KOD" localSheetId="1">#REF!</definedName>
    <definedName name="TT_AFIK_KOD" localSheetId="3">#REF!</definedName>
    <definedName name="TT_AFIK_KOD" localSheetId="4">#REF!</definedName>
    <definedName name="TT_AFIK_KOD" localSheetId="5">#REF!</definedName>
    <definedName name="TT_AFIK_KOD" localSheetId="6">#REF!</definedName>
    <definedName name="TT_AFIK_KO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4" l="1"/>
  <c r="D34" i="2" s="1"/>
  <c r="D34" i="43" l="1"/>
  <c r="D44" i="2"/>
  <c r="D44" i="42"/>
  <c r="D44" i="40"/>
  <c r="D42" i="2"/>
  <c r="C105" i="4"/>
  <c r="C75" i="4"/>
  <c r="C103" i="4"/>
  <c r="C77" i="4"/>
  <c r="D19" i="40"/>
  <c r="D19" i="41"/>
  <c r="D19" i="2"/>
  <c r="C79" i="4" l="1"/>
  <c r="D44" i="41"/>
  <c r="D56" i="43" l="1"/>
  <c r="D54" i="42" l="1"/>
  <c r="D54" i="39"/>
  <c r="D25" i="2" l="1"/>
  <c r="D31" i="2" s="1"/>
  <c r="D67" i="2" s="1"/>
  <c r="D57" i="42"/>
  <c r="D31" i="42"/>
  <c r="D67" i="42" s="1"/>
  <c r="D25" i="42"/>
  <c r="D60" i="42" s="1"/>
  <c r="D62" i="42" s="1"/>
  <c r="D25" i="39"/>
  <c r="D31" i="39" s="1"/>
  <c r="D67" i="39" s="1"/>
  <c r="D37" i="40"/>
  <c r="D57" i="40" s="1"/>
  <c r="D31" i="40"/>
  <c r="D67" i="40" s="1"/>
  <c r="D25" i="40"/>
  <c r="D37" i="41"/>
  <c r="D25" i="41"/>
  <c r="D31" i="41" s="1"/>
  <c r="D67" i="41" s="1"/>
  <c r="C78" i="4"/>
  <c r="C76" i="4"/>
  <c r="D52" i="40" l="1"/>
  <c r="D54" i="40" s="1"/>
  <c r="D60" i="40"/>
  <c r="D62" i="40" s="1"/>
  <c r="D60" i="41"/>
  <c r="D62" i="41" s="1"/>
  <c r="D57" i="41"/>
  <c r="D52" i="41"/>
  <c r="D54" i="41" s="1"/>
  <c r="D60" i="39"/>
  <c r="D62" i="39" s="1"/>
  <c r="C123" i="4"/>
  <c r="C29" i="4" l="1"/>
  <c r="C65" i="4" l="1"/>
  <c r="D39" i="2" s="1"/>
  <c r="D39" i="43" s="1"/>
  <c r="D40" i="43"/>
  <c r="D41" i="43"/>
  <c r="D42" i="43"/>
  <c r="D43" i="43"/>
  <c r="D44" i="43"/>
  <c r="D45" i="43"/>
  <c r="D46" i="43"/>
  <c r="D47" i="43"/>
  <c r="D48" i="43"/>
  <c r="D49" i="43"/>
  <c r="D50" i="43"/>
  <c r="D29" i="43"/>
  <c r="C134" i="4" s="1"/>
  <c r="D28" i="43"/>
  <c r="D27" i="43" s="1"/>
  <c r="D19" i="43"/>
  <c r="D35" i="3" s="1"/>
  <c r="D15" i="43"/>
  <c r="D27" i="3"/>
  <c r="D13" i="43" s="1"/>
  <c r="D11" i="43" s="1"/>
  <c r="D9" i="43"/>
  <c r="D38" i="2" l="1"/>
  <c r="D8" i="43"/>
  <c r="D7" i="43" s="1"/>
  <c r="D25" i="43" s="1"/>
  <c r="D31" i="43" s="1"/>
  <c r="D67" i="43" s="1"/>
  <c r="C102" i="4"/>
  <c r="C107" i="4" s="1"/>
  <c r="C83" i="4"/>
  <c r="C91" i="4"/>
  <c r="C88" i="4"/>
  <c r="C82" i="4"/>
  <c r="C80" i="4"/>
  <c r="D15" i="3"/>
  <c r="D16" i="3"/>
  <c r="D10" i="3"/>
  <c r="D21" i="3" s="1"/>
  <c r="C98" i="4" l="1"/>
  <c r="D38" i="43"/>
  <c r="D37" i="43" s="1"/>
  <c r="D60" i="43" s="1"/>
  <c r="D62" i="43" s="1"/>
  <c r="D37" i="2"/>
  <c r="D32" i="38"/>
  <c r="D31" i="38"/>
  <c r="D30" i="38"/>
  <c r="D29" i="38"/>
  <c r="D28" i="38"/>
  <c r="D27" i="38"/>
  <c r="D26" i="38"/>
  <c r="D25" i="38"/>
  <c r="D22" i="38"/>
  <c r="D19" i="38"/>
  <c r="D15" i="38"/>
  <c r="D14" i="38"/>
  <c r="D13" i="38"/>
  <c r="D12" i="38"/>
  <c r="D42" i="38"/>
  <c r="D34" i="38"/>
  <c r="D9" i="38"/>
  <c r="D8" i="38"/>
  <c r="D6" i="38"/>
  <c r="D5" i="38"/>
  <c r="D52" i="2" l="1"/>
  <c r="D60" i="2"/>
  <c r="D62" i="2" s="1"/>
  <c r="D57" i="2"/>
  <c r="D52" i="43"/>
  <c r="D57" i="43"/>
  <c r="D17" i="38"/>
  <c r="D24" i="38"/>
  <c r="D18" i="38"/>
  <c r="D11" i="38"/>
  <c r="D54" i="2" l="1"/>
  <c r="D35" i="38" s="1"/>
  <c r="D33" i="38"/>
  <c r="D20" i="38"/>
  <c r="D43" i="38"/>
  <c r="D16" i="38"/>
  <c r="D36" i="38"/>
  <c r="D40" i="38" l="1"/>
  <c r="D37" i="38"/>
  <c r="D39" i="38" l="1"/>
</calcChain>
</file>

<file path=xl/sharedStrings.xml><?xml version="1.0" encoding="utf-8"?>
<sst xmlns="http://schemas.openxmlformats.org/spreadsheetml/2006/main" count="549" uniqueCount="280">
  <si>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</si>
  <si>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</si>
  <si>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1. סך הכל עמלות קנייה ומכירה של ניירות ערך סחירים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</si>
  <si>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</si>
  <si>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</si>
  <si>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</si>
  <si>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</si>
  <si>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</si>
  <si>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</si>
  <si>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2. סך הכל דמי שמירה בשל ניירות ערך סחירים וכל עמלה שגובה מי שמבצע את משמרות ניירות הערך (קסטודיאן)</t>
  </si>
  <si>
    <t>הוצאות ישירות מסוג עמלת ניהול חיצוני</t>
  </si>
  <si>
    <t>א. סך תשלומים הנובעים מהשקעה בקרנות השקעה בישראל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</si>
  <si>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</si>
  <si>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</si>
  <si>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</si>
  <si>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</si>
  <si>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>ישראל ואינם נסחרים או מוחזקים בה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</si>
  <si>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</si>
  <si>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</si>
  <si>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</si>
  <si>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</si>
  <si>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סך הכל הוצאות ישירות לצורך חישוב שיעור עלות שנתית צפויה</t>
  </si>
  <si>
    <t>צדדים קשורים</t>
  </si>
  <si>
    <t>ברוקארז' - עמלות קנייה ומכירה בגין ביצוע עסקאות בניירות ערך סחירים</t>
  </si>
  <si>
    <t>צדדים שאינם קשורים</t>
  </si>
  <si>
    <t>עמלות קסטודיאן</t>
  </si>
  <si>
    <t>הוצאה הנובעת מהשקעה בניירות ערך לא סחירים או ממתן הלוואה</t>
  </si>
  <si>
    <t>הוצאה הנובעת מהשקעה בזכויות מקרקעין</t>
  </si>
  <si>
    <t>מסים החלים על הנכסים, ההכנסות והעסקאות</t>
  </si>
  <si>
    <t>דמי ביטוח בעד ביטוח משנה</t>
  </si>
  <si>
    <t>הוצאה הנובעת בעד ניהול תביעה או תובענה</t>
  </si>
  <si>
    <t>הוצאה הנובעת ממתן משכנתא</t>
  </si>
  <si>
    <t>תשלום של דמי ניהול משתנים</t>
  </si>
  <si>
    <t>תשלום הנובע מהשקעה בקרנות השקעה בישראל</t>
  </si>
  <si>
    <t>תשלום למנהל תיקים ישראלי</t>
  </si>
  <si>
    <t>תשלום למנהל תיקים זר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</si>
  <si>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</si>
  <si>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</si>
  <si>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</si>
  <si>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</si>
  <si>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תשלום בגין השקעה בקרנות נאמנות ישראליות כאשר 75% לפחות מנכסי</t>
  </si>
  <si>
    <t>הקרן מושקעים בנכסים שלא הונפקו במדינת ישראל ואינם נסחרים או</t>
  </si>
  <si>
    <t>מוחזקים בה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</si>
  <si>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</si>
  <si>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</si>
  <si>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תשלומים בגין השקעה בקרן טכנולוגיה עילית</t>
  </si>
  <si>
    <t>סך תשלום בגין השקעה בקרן טכנולוגיה עילית</t>
  </si>
  <si>
    <t>סך תשלומים הנובעים מהשקעה בקרנות השקעה בישראל</t>
  </si>
  <si>
    <t>סך תשלומים למנהלי תיקים ישראליים</t>
  </si>
  <si>
    <t>סך תשלום למנהלי תיקים זרים</t>
  </si>
  <si>
    <t>סך תשלום למנהלי קרנות סל</t>
  </si>
  <si>
    <t>סך תשלום למנהלי קרן סל</t>
  </si>
  <si>
    <t>סך תשלומים למנהלי קרנות נאמנות ישראליות</t>
  </si>
  <si>
    <t>סך תשלומים בגין השקעה בקרנות נאמנות זרות</t>
  </si>
  <si>
    <t>סך הכל עמלות ניהול חיצוני</t>
  </si>
  <si>
    <t>סך הכל נכסים לסוף שנה קודמת</t>
  </si>
  <si>
    <t>סך עמלות ברוקראז'</t>
  </si>
  <si>
    <t>סך עמלות קסטודיאן</t>
  </si>
  <si>
    <t>סך הוצאות הנובעות מהשקעה בניירות ערך לא סחירים או ממתן הלוואה</t>
  </si>
  <si>
    <t>סך הוצאות הנובעות מהשקעה בזכויות מקרקעין</t>
  </si>
  <si>
    <t>סך הכל תשלומים למבטחי משנה</t>
  </si>
  <si>
    <t>סך הוצאות הנובעות בעד ניהול תביעה או תובענה</t>
  </si>
  <si>
    <t>סך הוצאות בעד מתן משכנתאות</t>
  </si>
  <si>
    <t>סך תשלום דמי ניהול משתנים</t>
  </si>
  <si>
    <t>סך הכל עמלות והוצאות שאינן עמלות ניהול חיצוני</t>
  </si>
  <si>
    <t>OSCAR GRUSS-14</t>
  </si>
  <si>
    <t>בנק לאומי</t>
  </si>
  <si>
    <t>OPENHEIMER</t>
  </si>
  <si>
    <t>ברוקר מזרחי טפחות</t>
  </si>
  <si>
    <t>ברוקר אקסלנס</t>
  </si>
  <si>
    <t>GLOBAL CITI NY</t>
  </si>
  <si>
    <t>ברוקר זר</t>
  </si>
  <si>
    <t>State Street Corp</t>
  </si>
  <si>
    <t>500UFP EQUITY</t>
  </si>
  <si>
    <t>Vanguard Group</t>
  </si>
  <si>
    <t>KRANESHARES</t>
  </si>
  <si>
    <t>LYXOR ETF</t>
  </si>
  <si>
    <t>SXLE LN</t>
  </si>
  <si>
    <t>APS Fund SICAV - APS China A S</t>
  </si>
  <si>
    <t>CIFC Senior Secured Corporate</t>
  </si>
  <si>
    <t>CREDIT SUISSE</t>
  </si>
  <si>
    <t>Global X Management Co LLc</t>
  </si>
  <si>
    <t>Van Eck ETF</t>
  </si>
  <si>
    <t>Mirae Asset Global Discovery Fund</t>
  </si>
  <si>
    <t>Real Estate Credit Investments Pcc ltd</t>
  </si>
  <si>
    <t>Spider</t>
  </si>
  <si>
    <t>WSDTRE CHN EXST</t>
  </si>
  <si>
    <t>LEADER</t>
  </si>
  <si>
    <t>ברוקר IBI</t>
  </si>
  <si>
    <t>מיטב 5018</t>
  </si>
  <si>
    <t>ברוקר לידר הנפקות</t>
  </si>
  <si>
    <t>סעיף</t>
  </si>
  <si>
    <t>ב. סך תשלומים הנובעים מהשקעה בקרנות השקעה בחול</t>
  </si>
  <si>
    <t>ג. סך תשלומים למנהלי תיקים ישראלים בגין השקעה בחול</t>
  </si>
  <si>
    <t>תשלום הנובע מהשקעה בקרנות השקעה בחול</t>
  </si>
  <si>
    <t>סך תשלומים הנובעים מהשקעה בקרנות השקעה בחול</t>
  </si>
  <si>
    <t>אלפי ש''ח</t>
  </si>
  <si>
    <t>סכום</t>
  </si>
  <si>
    <t>(1)</t>
  </si>
  <si>
    <t>(2)</t>
  </si>
  <si>
    <t>(3)</t>
  </si>
  <si>
    <t>(4)</t>
  </si>
  <si>
    <t>קסם קרנות נאמנות בע"מ</t>
  </si>
  <si>
    <t>הראל קרנות נאמנות בע"מ</t>
  </si>
  <si>
    <t>מגדל קרנות נאמנות בע"מ</t>
  </si>
  <si>
    <t>S&amp;P 500</t>
  </si>
  <si>
    <t xml:space="preserve">BlackRock  Asset Managment </t>
  </si>
  <si>
    <t>מור ניהול קרנות נאמנות בע"מ</t>
  </si>
  <si>
    <t>פסגות קרנות נאמנות בע"מ</t>
  </si>
  <si>
    <t>Invesco investment management limited</t>
  </si>
  <si>
    <t xml:space="preserve">State Street Global Advisors Europe </t>
  </si>
  <si>
    <t>5. סך הוצאות בעד ניהול תביעות</t>
  </si>
  <si>
    <t>6 . סך הוצאות בעד מתן משכנתאות</t>
  </si>
  <si>
    <t>הוצאות ישירות שאינן מסוג עמלת ניהול חיצוני</t>
  </si>
  <si>
    <t>7. סך הכל הוצאות ישירות שאינן מסוג עמלת ניהול חיצוני (סכום סעיפים 1 עד 6)</t>
  </si>
  <si>
    <t>9. שיעור שנתי של הוצאות ישירות שאינן מסוג עמלת ניהול חיצוני (חלוקה של סעיף 7 בסעיף 8)</t>
  </si>
  <si>
    <t xml:space="preserve">10 . סך דמי ניהול משתנים – החלק מתשלום עמלת ניהול חיצוני שנגזר מתשואת הנכסים </t>
  </si>
  <si>
    <t>13. שיעור מגבלת עמלת ניהול חיצוני שהמשקיע המוסדי הצהיר עליה עבור שנת הכספים שהסתיימה</t>
  </si>
  <si>
    <t>סך הכל הוצאות ישירות בפועל (למעט דמי ניהול משתנים כאמור בסעיף 10)</t>
  </si>
  <si>
    <t>סך הכל הוצאות ישירות (לצורך חישוב שיעור עלות שנתית צפויה)</t>
  </si>
  <si>
    <t xml:space="preserve">18. שיעור מגבלת עמלת ניהול חיצוני שהמשקיע המוסדי הצהיר עליה בהתאם לתקנה 2א לתקנות הוצאות ישירות עבור </t>
  </si>
  <si>
    <t>16. סך כל הוצאות ישירות (סכום של סעיף 7 וסעיף 11 בניכוי סעיף 15א)</t>
  </si>
  <si>
    <t>קוד קליטה</t>
  </si>
  <si>
    <t>הערות</t>
  </si>
  <si>
    <t>נספח ז': הוצאות ישירות בניהול השקעות</t>
  </si>
  <si>
    <t>1. סה"כ עמלות קנייה ומכירה של ניירות ערך סחירים</t>
  </si>
  <si>
    <t>YT100</t>
  </si>
  <si>
    <t>1. סך עמלות קנייה ומכירה של ניירות ערך סחירים לצדדים קשורים</t>
  </si>
  <si>
    <t>YT101</t>
  </si>
  <si>
    <t>2.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</si>
  <si>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עמלות (קסטודיאן)</t>
  </si>
  <si>
    <t>YT102</t>
  </si>
  <si>
    <t>1. סך עמלות קסטודיאן לצדדים קשורים</t>
  </si>
  <si>
    <t>YT103</t>
  </si>
  <si>
    <t>2. סך עמלות קסטודיאן לצדדים שאינם קשורים</t>
  </si>
  <si>
    <t>3. סך הכל הוצאות הנובעות מהשקעות לא סחירות</t>
  </si>
  <si>
    <t>YT900</t>
  </si>
  <si>
    <t>1. הוצאה הנובעת מהשקעה בניירות ערך לא סחירים או ממתן הלוואה למי שאינו עמית או מבוטח</t>
  </si>
  <si>
    <t>YT106</t>
  </si>
  <si>
    <t>2. סך הוצאות הנובעות מהשקעה בזכויות מקרקעין</t>
  </si>
  <si>
    <t>YT901</t>
  </si>
  <si>
    <t>4. מסים החלים על משקיע מוסדי, על נכסיו, על הכנסותיו ועל עסקאות שנעשו בנכסיו</t>
  </si>
  <si>
    <t>YT115</t>
  </si>
  <si>
    <t>YT116</t>
  </si>
  <si>
    <t>6. סך הוצאות בעד מתן משכנתאות</t>
  </si>
  <si>
    <t>YT902</t>
  </si>
  <si>
    <t>YT903</t>
  </si>
  <si>
    <t>8. שווי ממוצע של נכסי הקופה או המסלול (ממוצע פשוט של סעיפים8א ו- 8ב)</t>
  </si>
  <si>
    <t>YT904</t>
  </si>
  <si>
    <t>1. השווי המשוערך של  נכסי הקופה או המסלול נכון ליום 31 בדצמבר של שנת הכספים שהסתיימה 20XX</t>
  </si>
  <si>
    <t>YT120</t>
  </si>
  <si>
    <t>2. השווי המשוערך של נכסי הקופה או המסלול נכון ליום 31 בדצמבר של שנת הכספים שהסתיימה לפני 20XX - 1 או לתקופה אחרת לפי הענין</t>
  </si>
  <si>
    <t>YT905</t>
  </si>
  <si>
    <t>YT906</t>
  </si>
  <si>
    <t>10 . סך דמי ניהול משתנים – החלק מתשלום עמלת ניהול חיצוני שנגזר מתשואת הנכסים</t>
  </si>
  <si>
    <t>11.   סה"כ הוצאות ישירות מסוג "עמלת ניהול חיצוני" (סכום סעיפים 11.א עד11.ט)</t>
  </si>
  <si>
    <t>YT107</t>
  </si>
  <si>
    <t>1. סך תשלומים הנובעים מהשקעה בקרנות השקעה בישראל</t>
  </si>
  <si>
    <t>YT108</t>
  </si>
  <si>
    <t>2. סך תשלומים הנובעים מהשקעה בקרנות השקעה בחו"ל</t>
  </si>
  <si>
    <t>YT109</t>
  </si>
  <si>
    <t>3. סך תשלומים למנהלי תיקים ישראלים בגין השקעה בחו"ל</t>
  </si>
  <si>
    <t>YT110</t>
  </si>
  <si>
    <t xml:space="preserve">4. סך תשלומים למנהלי תיקים זרים </t>
  </si>
  <si>
    <t>YT111</t>
  </si>
  <si>
    <t>5. סך תשלומים בגין השקעה בקרנות סל כאשר 75 אחוזים לפחות מנכסי הקרן הם נכסים שהונפקו במדינת ישראל לפי מדדים שעליהם הורה הממונה ובתנאים שהורה</t>
  </si>
  <si>
    <t>YT112</t>
  </si>
  <si>
    <t>6. סך תשלומים בגין השקעה בקרנות סל כאשר 75 אחוזים לפחות מנכסי הקרן הם נכסים שלא הונפקו במדינת ישראל ואינם נסחרים או מוחזקים בה</t>
  </si>
  <si>
    <t>YT113</t>
  </si>
  <si>
    <t>7.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</si>
  <si>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YT114</t>
  </si>
  <si>
    <t>8. סך תשלומים בגין השקעה בקרנות נאמנות זרות כאשר 75 אחוזים לפחות מנכסי הקרן מושקעים בנכסים שלא הונפקו במדינת ישראל ואינם נסחרים או מוחזקים בה</t>
  </si>
  <si>
    <t>YT907</t>
  </si>
  <si>
    <t>9. סך תשלומים בגין השקעה בקרן טכנולוגיה עילית</t>
  </si>
  <si>
    <t>YT908</t>
  </si>
  <si>
    <t>12. שיעור עמלת ניהול חיצוני בפועל לפני החזר, ככל שבוצע (חלוקה של סעיף 11 בסעיף 8.ב)</t>
  </si>
  <si>
    <t>YT909</t>
  </si>
  <si>
    <t>13. שיעור מגבלת עמלת ניהול חיצוני שהמשקיע המוסדי הצהיר עליה  עבור שנת הכספים שהסתיימה</t>
  </si>
  <si>
    <t>YT910</t>
  </si>
  <si>
    <t>14. ההפרש בין שיעור מגבלת עמלת ניהול חיצוני מוצהרת לבין שיעור  עמלת ניהול חיצוני בפועל (סעיף 13 פחות סעיף 12)</t>
  </si>
  <si>
    <t>YT911</t>
  </si>
  <si>
    <t>15.א. סכום שהוחזר לחוסכים</t>
  </si>
  <si>
    <t>YT912</t>
  </si>
  <si>
    <t>15.ב. שיעור עמלת ניהול חיצוני בפועל לאחר החזר (חלוקה של התוצאה של סעיף 11 בניכוי סעיף 15א, בסעיף 8ב.)</t>
  </si>
  <si>
    <t>YT117</t>
  </si>
  <si>
    <t>YT913</t>
  </si>
  <si>
    <t>17. שיעור סך ההוצאות הישירות מתוך יתרת נכסים ממוצעת  (חלוקה של סעיף 16 בסעיף 8)</t>
  </si>
  <si>
    <t>YT914</t>
  </si>
  <si>
    <t>18. שיעור מגבלת עמלת ניהול חיצוני שהמשקיע המוסדי הצהיר עליה בהתאם לתקנה 2א לתקנות הוצאות ישירות עבור שנת הכספים הבאה+ 1 XX20</t>
  </si>
  <si>
    <t>YT915</t>
  </si>
  <si>
    <t>19. De: שיעור הוצאות ישירות  (סכום של סעיף 9 וסעיף 18)</t>
  </si>
  <si>
    <t>מיטב קרנות נאמנות בע"מ</t>
  </si>
  <si>
    <t>7. סך הכל הוצאות ישירות שאינן מסוג עמלת ניהול חיצוני )סכום סעיפים 1 עד 6(</t>
  </si>
  <si>
    <t>8. שווי ממוצע של נכסי הקופה או המסלול )ממוצע פשוט של סעיפים 8 א. ו - 8 ב.(</t>
  </si>
  <si>
    <t>9. שיעור שנתי של הוצאות ישירות שאינן מסוג עמלת ניהול חיצוני )חלוקה של סעיף 7 בסעיף 8(</t>
  </si>
  <si>
    <t>11. סהכ הוצאות ישירות מסוג "עמלת ניהול חיצוני" )סכום סעיפים 11 א. עד 11 ט.(</t>
  </si>
  <si>
    <t>12. שיעור עמלת ניהול חיצוני בפועל  לפני החזר, ככל שבוצע )חלוקה של סעיף 11 בסעיף 8.ב(</t>
  </si>
  <si>
    <t>14. ההפרש בין שיעור מגבלת עמלת ניהול חיצוני מוצהרת לבין שיעור  עמלת ניהול חיצוני בפועל )סעיף 13 פחות סעיף 12(</t>
  </si>
  <si>
    <t>15.א סכום שהוחזר לחוסכים )אם הוחזר(</t>
  </si>
  <si>
    <t>15.ב שיעור עמלת ניהול חיצוני בפועל לאחר החזר, )חלוקה של התוצאה של סעיף 11 בניכוי סעיף 15א, בסעיף 8.ב(</t>
  </si>
  <si>
    <t>16. סך כל הוצאות ישירות )סכום של סעיף 7 וסעיף 11 בניכוי סעיף 15א(</t>
  </si>
  <si>
    <t>17. שיעור סך ההוצאות הישירות מתוך יתרת נכסים ממוצעת )חלוקה של סעיף 16 בסעיף 8(</t>
  </si>
  <si>
    <t>19. De: שיעור הוצאות ישירות )סכום של סעיף 9 וסעיף 18(</t>
  </si>
  <si>
    <t>EUROCLEAR</t>
  </si>
  <si>
    <t>עמ''י-חברה לניהול גמל - קופת גמל</t>
  </si>
  <si>
    <t>נספח 1 סך ההוצאות הישירות ששולמו בעד כל סוג של הוצאה ישירה לתקופה המסתיימת ביום - 31.12.2023</t>
  </si>
  <si>
    <t>א. השווי המשוערך של נכסי הקופה או המסלול נכון ליום 31 בדצמבר של שנת הכספים שהסתיימה 2023</t>
  </si>
  <si>
    <t>ב. השווי המשוערך של נכסי הקופה או המסלול נכון ליום 31 בדצמבר של שנת הכספים שהסתיימה לפני 2022</t>
  </si>
  <si>
    <t>שנת הכספים הבאה 2024</t>
  </si>
  <si>
    <t>נספח 2 פרוט עמלות והוצאות שאינן עמלות ניהול חיצוני לשנה המסתיימת ביום: 31.12.2023</t>
  </si>
  <si>
    <t>נספח 3 - פירוט עמלות ניהול חיצוני לשנה המסתיימת ביום: 31.12.2023</t>
  </si>
  <si>
    <t>Peregrine Ventures Growth General Partner LP</t>
  </si>
  <si>
    <t>Coller Credit Opportunities</t>
  </si>
  <si>
    <t>Target Global Growth Fund II</t>
  </si>
  <si>
    <t>Viola Credit GL II, Limited Partnership</t>
  </si>
  <si>
    <t>Madison Realty Capital Debt Fund VI LP</t>
  </si>
  <si>
    <t>Alto II</t>
  </si>
  <si>
    <t>Alto III</t>
  </si>
  <si>
    <t>Ami Opportunities (APAX)</t>
  </si>
  <si>
    <t>Blue Atlantic PTNR</t>
  </si>
  <si>
    <t>Fimi Israel Opportunity 6</t>
  </si>
  <si>
    <t>Hamilton Co-invest IV</t>
  </si>
  <si>
    <t>HarbourVest Dover  X</t>
  </si>
  <si>
    <t>Pantheon Access Feeder 2017</t>
  </si>
  <si>
    <t>Vintage Growth Fund III</t>
  </si>
  <si>
    <t>Vintage IV</t>
  </si>
  <si>
    <t>Vintage Secondary IV</t>
  </si>
  <si>
    <t>נוי 1</t>
  </si>
  <si>
    <t>נוי 2</t>
  </si>
  <si>
    <t>EQT Infrastructure V (יורו)</t>
  </si>
  <si>
    <t>Insight Partners XII</t>
  </si>
  <si>
    <t>Avenue Europe III</t>
  </si>
  <si>
    <t>ICG Europe VII</t>
  </si>
  <si>
    <t>ICG North American Private Debt II</t>
  </si>
  <si>
    <t>Klirmark Fund III</t>
  </si>
  <si>
    <t>Liquidity Capital  II</t>
  </si>
  <si>
    <t>יסודות נדלן ב</t>
  </si>
  <si>
    <t>יסודות נדלן ג</t>
  </si>
  <si>
    <t>Cheyne European Strategic II</t>
  </si>
  <si>
    <t>Electra Capital PM II  Feeder 3</t>
  </si>
  <si>
    <t>More Alternative Credit  CLO</t>
  </si>
  <si>
    <t>(5)</t>
  </si>
  <si>
    <t>(6)</t>
  </si>
  <si>
    <t>(7)</t>
  </si>
  <si>
    <t>(8)</t>
  </si>
  <si>
    <t>(9)</t>
  </si>
  <si>
    <t>(10)</t>
  </si>
  <si>
    <t>(11)</t>
  </si>
  <si>
    <t>Alpha Value 1 LP</t>
  </si>
  <si>
    <t>ALPHA OPPORTUNITIES LP</t>
  </si>
  <si>
    <t>Cogito Capital 2</t>
  </si>
  <si>
    <t>Evo Hospitality Fund</t>
  </si>
  <si>
    <t>Forma Fund I</t>
  </si>
  <si>
    <t>Fortissimo V</t>
  </si>
  <si>
    <t>IBI Consumer (ccf)</t>
  </si>
  <si>
    <t>IBI SBL</t>
  </si>
  <si>
    <t>Klirmark Fund IV-IBI</t>
  </si>
  <si>
    <t>Klirmark IV-MORE</t>
  </si>
  <si>
    <t>Noked Bonds LP</t>
  </si>
  <si>
    <t>Noked Opportunity Limited Partnership</t>
  </si>
  <si>
    <t>Ares Climate Infrastructure Partners II-A, L.P</t>
  </si>
  <si>
    <t>Dover Street XI Feeder Fund L.P</t>
  </si>
  <si>
    <t>ECP Fund V</t>
  </si>
  <si>
    <t>Electra Capital PM Feeder 4</t>
  </si>
  <si>
    <t>Electra Multifamily Investment Fund II</t>
  </si>
  <si>
    <t xml:space="preserve">Hanaco Ventures II </t>
  </si>
  <si>
    <t>Oak Street Real Estate Capital Fund VI LP</t>
  </si>
  <si>
    <t>Pagaya Smartresi F1 Fund LP</t>
  </si>
  <si>
    <t>Pantheon Global Infrastructure Fund IV (Luxembourg</t>
  </si>
  <si>
    <t>QUMRA Opportunity Fund</t>
  </si>
  <si>
    <t xml:space="preserve">Starlight </t>
  </si>
  <si>
    <t>Vertex Israel Opportunity II Fund LP</t>
  </si>
  <si>
    <t>Harel Alternative Credit Co-Invest</t>
  </si>
  <si>
    <t>נוקד אופורטוניטי</t>
  </si>
  <si>
    <t>נוקד אגח</t>
  </si>
  <si>
    <t>עמ''י-חברה לניהול גמל - קופת גמל- מסלול לבני 50 עד 60</t>
  </si>
  <si>
    <t>עמ''י-חברה לניהול גמל - קופת גמל- מסלול מניות</t>
  </si>
  <si>
    <t>עמ''י-חברה לניהול גמל - קופת גמל- מסלול ללא מניות</t>
  </si>
  <si>
    <t>עמ''י-חברה לניהול גמל - קופת גמל- מסלולי לבני 50 ומטה</t>
  </si>
  <si>
    <t xml:space="preserve">עמ''י-חברה לניהול גמל - קופת גמל- מסלול לבני 60 ומעלה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</si>
</sst>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sz val="10"/>
      <color indexed="64"/>
      <name val="Arial"/>
      <family val="2"/>
    </font>
    <font>
      <b/>
      <sz val="12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sz val="14"/>
      <color theme="1"/>
      <name val="David"/>
      <family val="2"/>
      <charset val="177"/>
    </font>
    <font>
      <sz val="14"/>
      <color theme="1"/>
      <name val="Arial"/>
      <family val="2"/>
      <scheme val="minor"/>
    </font>
    <font>
      <b/>
      <sz val="12"/>
      <color rgb="FF000000"/>
      <name val="David"/>
      <family val="2"/>
    </font>
    <font>
      <b/>
      <u/>
      <sz val="12"/>
      <color rgb="FF0000FF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David"/>
      <family val="2"/>
    </font>
    <font>
      <sz val="11"/>
      <color rgb="FF000000"/>
      <name val="David"/>
      <family val="2"/>
    </font>
    <font>
      <b/>
      <sz val="14"/>
      <color rgb="FF000000"/>
      <name val="David"/>
      <family val="2"/>
    </font>
    <font>
      <sz val="12"/>
      <color rgb="FF000000"/>
      <name val="David"/>
      <family val="2"/>
    </font>
    <font>
      <sz val="12"/>
      <name val="David"/>
      <family val="2"/>
    </font>
    <font>
      <sz val="14"/>
      <name val="David"/>
      <family val="2"/>
    </font>
    <font>
      <b/>
      <sz val="12"/>
      <name val="Davi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7" fillId="0" borderId="0" xfId="0" applyFont="1" applyAlignment="1">
      <alignment horizontal="right" readingOrder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 readingOrder="1"/>
    </xf>
    <xf numFmtId="0" fontId="7" fillId="0" borderId="0" xfId="0" applyFont="1" applyAlignment="1">
      <alignment horizontal="right" readingOrder="2"/>
    </xf>
    <xf numFmtId="0" fontId="8" fillId="0" borderId="0" xfId="0" applyFont="1" applyAlignment="1">
      <alignment horizontal="right" readingOrder="2"/>
    </xf>
    <xf numFmtId="0" fontId="9" fillId="0" borderId="0" xfId="0" applyFont="1" applyAlignment="1">
      <alignment horizontal="right" readingOrder="2"/>
    </xf>
    <xf numFmtId="0" fontId="11" fillId="0" borderId="0" xfId="0" applyFont="1" applyAlignment="1">
      <alignment horizontal="right" readingOrder="1"/>
    </xf>
    <xf numFmtId="0" fontId="10" fillId="0" borderId="0" xfId="0" applyFont="1" applyAlignment="1">
      <alignment horizontal="right" readingOrder="2"/>
    </xf>
    <xf numFmtId="0" fontId="10" fillId="0" borderId="0" xfId="0" applyFont="1" applyAlignment="1">
      <alignment horizontal="right" readingOrder="1"/>
    </xf>
    <xf numFmtId="164" fontId="10" fillId="0" borderId="0" xfId="1" applyFont="1" applyFill="1" applyAlignment="1">
      <alignment horizontal="center" vertical="center"/>
    </xf>
    <xf numFmtId="164" fontId="8" fillId="0" borderId="0" xfId="1" applyFont="1" applyFill="1"/>
    <xf numFmtId="164" fontId="7" fillId="0" borderId="0" xfId="1" applyFont="1" applyFill="1" applyAlignment="1">
      <alignment horizontal="center" vertical="center"/>
    </xf>
    <xf numFmtId="0" fontId="0" fillId="0" borderId="0" xfId="0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/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12" fillId="0" borderId="0" xfId="0" applyFont="1"/>
    <xf numFmtId="0" fontId="12" fillId="0" borderId="0" xfId="0" applyFont="1" applyAlignment="1">
      <alignment horizontal="right" readingOrder="2"/>
    </xf>
    <xf numFmtId="0" fontId="3" fillId="0" borderId="0" xfId="0" applyFont="1" applyAlignment="1">
      <alignment horizontal="right" indent="1" readingOrder="2"/>
    </xf>
    <xf numFmtId="0" fontId="4" fillId="0" borderId="0" xfId="0" applyFont="1" applyAlignment="1">
      <alignment horizontal="center" readingOrder="2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horizontal="center" readingOrder="2"/>
    </xf>
    <xf numFmtId="164" fontId="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 vertical="center"/>
    </xf>
    <xf numFmtId="164" fontId="13" fillId="0" borderId="0" xfId="1" applyFont="1"/>
    <xf numFmtId="0" fontId="14" fillId="0" borderId="0" xfId="0" applyFont="1"/>
    <xf numFmtId="164" fontId="15" fillId="0" borderId="0" xfId="1" applyFont="1"/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15" fillId="0" borderId="0" xfId="0" applyFont="1"/>
    <xf numFmtId="0" fontId="20" fillId="0" borderId="0" xfId="0" applyFont="1" applyAlignment="1">
      <alignment horizontal="right"/>
    </xf>
    <xf numFmtId="164" fontId="20" fillId="0" borderId="0" xfId="1" applyFont="1"/>
    <xf numFmtId="0" fontId="20" fillId="0" borderId="0" xfId="0" applyFont="1"/>
    <xf numFmtId="0" fontId="20" fillId="0" borderId="0" xfId="0" applyFont="1" applyAlignment="1">
      <alignment horizontal="right" vertical="center"/>
    </xf>
    <xf numFmtId="164" fontId="20" fillId="0" borderId="0" xfId="1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20" fillId="0" borderId="0" xfId="1" applyFont="1" applyAlignment="1">
      <alignment horizontal="right" vertical="center" readingOrder="2"/>
    </xf>
    <xf numFmtId="0" fontId="19" fillId="0" borderId="0" xfId="0" applyFont="1" applyAlignment="1">
      <alignment horizontal="center"/>
    </xf>
    <xf numFmtId="164" fontId="19" fillId="0" borderId="0" xfId="1" applyFont="1"/>
    <xf numFmtId="0" fontId="20" fillId="0" borderId="0" xfId="0" applyFont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right"/>
    </xf>
    <xf numFmtId="164" fontId="15" fillId="0" borderId="0" xfId="1" applyFont="1" applyAlignment="1">
      <alignment horizontal="center" vertical="center"/>
    </xf>
    <xf numFmtId="43" fontId="20" fillId="0" borderId="0" xfId="0" applyNumberFormat="1" applyFont="1"/>
    <xf numFmtId="10" fontId="8" fillId="0" borderId="0" xfId="8" applyNumberFormat="1" applyFont="1" applyFill="1"/>
    <xf numFmtId="43" fontId="8" fillId="0" borderId="0" xfId="0" applyNumberFormat="1" applyFont="1"/>
    <xf numFmtId="164" fontId="24" fillId="0" borderId="0" xfId="1" applyFont="1" applyFill="1"/>
    <xf numFmtId="0" fontId="25" fillId="0" borderId="0" xfId="0" applyFont="1" applyAlignment="1">
      <alignment horizontal="center" vertical="center"/>
    </xf>
    <xf numFmtId="164" fontId="23" fillId="0" borderId="0" xfId="1" applyFont="1" applyFill="1" applyAlignment="1">
      <alignment horizontal="center" vertical="center"/>
    </xf>
    <xf numFmtId="164" fontId="25" fillId="0" borderId="0" xfId="1" applyFont="1" applyFill="1" applyAlignment="1">
      <alignment horizontal="center" vertical="center"/>
    </xf>
    <xf numFmtId="164" fontId="25" fillId="0" borderId="0" xfId="1" applyFont="1" applyFill="1" applyAlignment="1">
      <alignment horizontal="right" vertical="center"/>
    </xf>
    <xf numFmtId="164" fontId="23" fillId="0" borderId="0" xfId="1" applyFont="1" applyFill="1"/>
    <xf numFmtId="164" fontId="23" fillId="0" borderId="0" xfId="0" applyNumberFormat="1" applyFont="1" applyAlignment="1">
      <alignment horizontal="center" vertical="center"/>
    </xf>
    <xf numFmtId="164" fontId="25" fillId="0" borderId="0" xfId="1" applyFont="1" applyFill="1"/>
  </cellXfs>
  <cellStyles count="9">
    <cellStyle name="Comma" xfId="1" builtinId="3"/>
    <cellStyle name="Normal" xfId="0" builtinId="0"/>
    <cellStyle name="Normal 3" xfId="3" xr:uid="{F7CEE666-34F8-49B2-AA5D-5CC814B55784}"/>
    <cellStyle name="Normal 3 2" xfId="2" xr:uid="{28B50FE9-9ADC-45CF-83DD-5B242AB42FFB}"/>
    <cellStyle name="Normal 49" xfId="4" xr:uid="{26B8BA11-174B-4413-8A70-F7E3FE6B5674}"/>
    <cellStyle name="Normal 54" xfId="7" xr:uid="{359F730A-B755-472C-94DC-1834618C8404}"/>
    <cellStyle name="Normal 58" xfId="6" xr:uid="{A4FFBEDB-4FE8-4F0D-93A9-1FF685CD20B8}"/>
    <cellStyle name="Normal 60" xfId="5" xr:uid="{E4AC4AAD-13E4-42C7-998A-43E786E1CE66}"/>
    <cellStyle name="Percent" xfId="8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av/Downloads/&#1492;&#1493;&#1510;&#1488;&#1493;&#1514;%20&#1497;&#1513;&#1497;&#1512;&#1493;&#1514;%20V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פעלה בדיקת עמלות"/>
      <sheetName val="הפעלה דוח הוצאות ישירות"/>
      <sheetName val="hamara"/>
      <sheetName val="Tik_Kvutza"/>
      <sheetName val="convert"/>
      <sheetName val="דוח תנועות FC דנאל"/>
      <sheetName val="מטריצת תעריפון"/>
      <sheetName val="מטריצת תעריפון דולר"/>
      <sheetName val="מטריצת תעריפון מטבעות"/>
      <sheetName val="DNL_TNU"/>
      <sheetName val="בקרה"/>
      <sheetName val="מטריצת ברוקרים"/>
      <sheetName val="Atlas_MF"/>
      <sheetName val="Atlas_MFTNU"/>
      <sheetName val="Manpik"/>
      <sheetName val="JUNK"/>
      <sheetName val="קרנות השקעה"/>
      <sheetName val="נספח 1 - סך תשלומים ששולמו"/>
      <sheetName val="נספח 2 - עמלות והוצאות"/>
      <sheetName val="נספח 3 - עמלות ניהול חיצוני"/>
      <sheetName val="VALIDATION"/>
    </sheetNames>
    <sheetDataSet>
      <sheetData sheetId="0"/>
      <sheetData sheetId="1">
        <row r="3">
          <cell r="D3" t="str">
            <v>השתלמות עובדי מדינה</v>
          </cell>
        </row>
        <row r="4">
          <cell r="D4" t="str">
            <v>קרן השתלמות</v>
          </cell>
        </row>
        <row r="5">
          <cell r="D5">
            <v>45106</v>
          </cell>
        </row>
        <row r="7">
          <cell r="D7" t="str">
            <v>כן לכלול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8D0B-797A-4FBB-8A12-B333EF2A0EF7}">
  <sheetPr codeName="גיליון21">
    <tabColor rgb="FF002060"/>
  </sheetPr>
  <dimension ref="A1:D43"/>
  <sheetViews>
    <sheetView rightToLeft="1" zoomScale="85" zoomScaleNormal="85" workbookViewId="0"/>
  </sheetViews>
  <sheetFormatPr defaultRowHeight="14.25" x14ac:dyDescent="0.2"/>
  <cols>
    <col min="1" max="1" width="110.625" style="14" customWidth="1"/>
    <col min="2" max="2" width="15.75" style="14" customWidth="1"/>
    <col min="3" max="3" width="16.25" style="26" customWidth="1"/>
    <col min="4" max="4" width="15.875" customWidth="1"/>
  </cols>
  <sheetData>
    <row r="1" spans="1:4" s="23" customFormat="1" ht="18" x14ac:dyDescent="0.25">
      <c r="A1" s="22" t="s">
        <v>91</v>
      </c>
      <c r="B1" s="22" t="s">
        <v>123</v>
      </c>
      <c r="C1" s="22" t="s">
        <v>122</v>
      </c>
      <c r="D1" s="22" t="s">
        <v>97</v>
      </c>
    </row>
    <row r="2" spans="1:4" s="19" customFormat="1" ht="18" x14ac:dyDescent="0.25">
      <c r="A2" s="18" t="s">
        <v>124</v>
      </c>
      <c r="B2" s="20"/>
      <c r="C2" s="24"/>
    </row>
    <row r="3" spans="1:4" s="16" customFormat="1" ht="15.75" x14ac:dyDescent="0.25">
      <c r="A3" s="15" t="s">
        <v>113</v>
      </c>
      <c r="B3" s="17"/>
      <c r="C3" s="25"/>
    </row>
    <row r="4" spans="1:4" s="16" customFormat="1" ht="15.75" x14ac:dyDescent="0.25">
      <c r="A4" s="15" t="s">
        <v>125</v>
      </c>
      <c r="B4" s="17"/>
      <c r="C4" s="25"/>
    </row>
    <row r="5" spans="1:4" s="16" customFormat="1" ht="15" x14ac:dyDescent="0.2">
      <c r="A5" s="21" t="s">
        <v>127</v>
      </c>
      <c r="B5" s="17"/>
      <c r="C5" s="25" t="s">
        <v>126</v>
      </c>
      <c r="D5" s="27">
        <f>'מסלולי לבני 50-60'!D8</f>
        <v>49.139107679999995</v>
      </c>
    </row>
    <row r="6" spans="1:4" s="16" customFormat="1" ht="15" x14ac:dyDescent="0.2">
      <c r="A6" s="21" t="s">
        <v>129</v>
      </c>
      <c r="B6" s="17"/>
      <c r="C6" s="25" t="s">
        <v>128</v>
      </c>
      <c r="D6" s="27">
        <f>'מסלולי לבני 50-60'!D9</f>
        <v>381.40417940400033</v>
      </c>
    </row>
    <row r="7" spans="1:4" s="16" customFormat="1" ht="15.75" x14ac:dyDescent="0.25">
      <c r="A7" s="15" t="s">
        <v>130</v>
      </c>
      <c r="B7" s="17"/>
      <c r="C7" s="25"/>
    </row>
    <row r="8" spans="1:4" s="16" customFormat="1" ht="15" x14ac:dyDescent="0.2">
      <c r="A8" s="21" t="s">
        <v>132</v>
      </c>
      <c r="B8" s="17"/>
      <c r="C8" s="25" t="s">
        <v>131</v>
      </c>
      <c r="D8" s="27">
        <f>'מסלולי לבני 50-60'!D12</f>
        <v>0</v>
      </c>
    </row>
    <row r="9" spans="1:4" s="16" customFormat="1" ht="15" x14ac:dyDescent="0.2">
      <c r="A9" s="21" t="s">
        <v>134</v>
      </c>
      <c r="B9" s="17"/>
      <c r="C9" s="25" t="s">
        <v>133</v>
      </c>
      <c r="D9" s="27">
        <f>'מסלולי לבני 50-60'!D13</f>
        <v>39.450000000000003</v>
      </c>
    </row>
    <row r="10" spans="1:4" s="16" customFormat="1" ht="15.75" x14ac:dyDescent="0.25">
      <c r="A10" s="15" t="s">
        <v>135</v>
      </c>
      <c r="B10" s="17"/>
      <c r="C10" s="25"/>
    </row>
    <row r="11" spans="1:4" s="16" customFormat="1" ht="15" x14ac:dyDescent="0.2">
      <c r="A11" s="21" t="s">
        <v>137</v>
      </c>
      <c r="B11" s="17"/>
      <c r="C11" s="25" t="s">
        <v>136</v>
      </c>
      <c r="D11" s="27">
        <f>'מסלולי לבני 50-60'!D16</f>
        <v>0</v>
      </c>
    </row>
    <row r="12" spans="1:4" s="16" customFormat="1" ht="15" x14ac:dyDescent="0.2">
      <c r="A12" s="21" t="s">
        <v>139</v>
      </c>
      <c r="B12" s="17"/>
      <c r="C12" s="25" t="s">
        <v>138</v>
      </c>
      <c r="D12" s="27">
        <f>'מסלולי לבני 50-60'!D17</f>
        <v>5.85</v>
      </c>
    </row>
    <row r="13" spans="1:4" s="16" customFormat="1" ht="15.75" x14ac:dyDescent="0.25">
      <c r="A13" s="15" t="s">
        <v>141</v>
      </c>
      <c r="B13" s="17"/>
      <c r="C13" s="25" t="s">
        <v>140</v>
      </c>
      <c r="D13" s="27">
        <f>'מסלולי לבני 50-60'!D19</f>
        <v>793.98299999999995</v>
      </c>
    </row>
    <row r="14" spans="1:4" s="16" customFormat="1" ht="15.75" x14ac:dyDescent="0.25">
      <c r="A14" s="15" t="s">
        <v>111</v>
      </c>
      <c r="B14" s="17"/>
      <c r="C14" s="25" t="s">
        <v>142</v>
      </c>
      <c r="D14" s="27">
        <f>'מסלולי לבני 50-60'!D21</f>
        <v>0</v>
      </c>
    </row>
    <row r="15" spans="1:4" s="16" customFormat="1" ht="15.75" x14ac:dyDescent="0.25">
      <c r="A15" s="15" t="s">
        <v>144</v>
      </c>
      <c r="B15" s="17"/>
      <c r="C15" s="25" t="s">
        <v>143</v>
      </c>
      <c r="D15" s="27">
        <f>'מסלולי לבני 50-60'!D23</f>
        <v>0</v>
      </c>
    </row>
    <row r="16" spans="1:4" s="16" customFormat="1" ht="15.75" x14ac:dyDescent="0.25">
      <c r="A16" s="15" t="s">
        <v>114</v>
      </c>
      <c r="B16" s="17"/>
      <c r="C16" s="25" t="s">
        <v>145</v>
      </c>
      <c r="D16" s="27">
        <f>'מסלולי לבני 50-60'!D25</f>
        <v>1269.8262870840003</v>
      </c>
    </row>
    <row r="17" spans="1:4" s="16" customFormat="1" ht="15.75" x14ac:dyDescent="0.25">
      <c r="A17" s="15" t="s">
        <v>147</v>
      </c>
      <c r="B17" s="17"/>
      <c r="C17" s="25" t="s">
        <v>146</v>
      </c>
      <c r="D17" s="27">
        <f>'מסלולי לבני 50-60'!D27</f>
        <v>1736800.1317799999</v>
      </c>
    </row>
    <row r="18" spans="1:4" s="16" customFormat="1" ht="15" x14ac:dyDescent="0.2">
      <c r="A18" s="21" t="s">
        <v>149</v>
      </c>
      <c r="B18" s="17"/>
      <c r="C18" s="25" t="s">
        <v>148</v>
      </c>
      <c r="D18" s="27">
        <f>'מסלולי לבני 50-60'!D28</f>
        <v>1754441.1725699999</v>
      </c>
    </row>
    <row r="19" spans="1:4" s="16" customFormat="1" ht="15" x14ac:dyDescent="0.2">
      <c r="A19" s="21" t="s">
        <v>151</v>
      </c>
      <c r="B19" s="17"/>
      <c r="C19" s="25" t="s">
        <v>150</v>
      </c>
      <c r="D19" s="27">
        <f>'מסלולי לבני 50-60'!D29</f>
        <v>1719159.0909899999</v>
      </c>
    </row>
    <row r="20" spans="1:4" s="16" customFormat="1" ht="15.75" x14ac:dyDescent="0.25">
      <c r="A20" s="15" t="s">
        <v>115</v>
      </c>
      <c r="B20" s="17"/>
      <c r="C20" s="25" t="s">
        <v>152</v>
      </c>
      <c r="D20" s="27">
        <f>'מסלולי לבני 50-60'!D31</f>
        <v>7.3112977356962162E-4</v>
      </c>
    </row>
    <row r="21" spans="1:4" s="16" customFormat="1" ht="15.75" x14ac:dyDescent="0.25">
      <c r="A21" s="15" t="s">
        <v>10</v>
      </c>
      <c r="B21" s="17"/>
      <c r="C21" s="25"/>
    </row>
    <row r="22" spans="1:4" s="16" customFormat="1" ht="15.75" x14ac:dyDescent="0.25">
      <c r="A22" s="15" t="s">
        <v>154</v>
      </c>
      <c r="B22" s="17"/>
      <c r="C22" s="25" t="s">
        <v>153</v>
      </c>
      <c r="D22" s="27">
        <f>'מסלולי לבני 50-60'!D34</f>
        <v>145.51</v>
      </c>
    </row>
    <row r="23" spans="1:4" s="16" customFormat="1" ht="15.75" x14ac:dyDescent="0.25">
      <c r="A23" s="15" t="s">
        <v>155</v>
      </c>
      <c r="B23" s="17"/>
      <c r="C23" s="25"/>
    </row>
    <row r="24" spans="1:4" s="16" customFormat="1" ht="15" x14ac:dyDescent="0.2">
      <c r="A24" s="21" t="s">
        <v>157</v>
      </c>
      <c r="B24" s="17"/>
      <c r="C24" s="25" t="s">
        <v>156</v>
      </c>
      <c r="D24" s="27">
        <f>'מסלולי לבני 50-60'!D38</f>
        <v>1571.8019194115016</v>
      </c>
    </row>
    <row r="25" spans="1:4" s="16" customFormat="1" ht="15" x14ac:dyDescent="0.2">
      <c r="A25" s="21" t="s">
        <v>159</v>
      </c>
      <c r="B25" s="17"/>
      <c r="C25" s="25" t="s">
        <v>158</v>
      </c>
      <c r="D25" s="27">
        <f>'מסלולי לבני 50-60'!D39</f>
        <v>1565.57245051</v>
      </c>
    </row>
    <row r="26" spans="1:4" s="16" customFormat="1" ht="15" x14ac:dyDescent="0.2">
      <c r="A26" s="21" t="s">
        <v>161</v>
      </c>
      <c r="B26" s="17"/>
      <c r="C26" s="25" t="s">
        <v>160</v>
      </c>
      <c r="D26" s="27">
        <f>'מסלולי לבני 50-60'!D40</f>
        <v>0</v>
      </c>
    </row>
    <row r="27" spans="1:4" s="16" customFormat="1" ht="15" x14ac:dyDescent="0.2">
      <c r="A27" s="21" t="s">
        <v>163</v>
      </c>
      <c r="B27" s="17"/>
      <c r="C27" s="25" t="s">
        <v>162</v>
      </c>
      <c r="D27" s="27">
        <f>'מסלולי לבני 50-60'!D41</f>
        <v>0</v>
      </c>
    </row>
    <row r="28" spans="1:4" s="16" customFormat="1" ht="15" x14ac:dyDescent="0.2">
      <c r="A28" s="21" t="s">
        <v>165</v>
      </c>
      <c r="B28" s="17"/>
      <c r="C28" s="25" t="s">
        <v>164</v>
      </c>
      <c r="D28" s="27">
        <f>'מסלולי לבני 50-60'!D42</f>
        <v>8.3205529309999999</v>
      </c>
    </row>
    <row r="29" spans="1:4" s="16" customFormat="1" ht="15" x14ac:dyDescent="0.2">
      <c r="A29" s="21" t="s">
        <v>167</v>
      </c>
      <c r="B29" s="17"/>
      <c r="C29" s="25" t="s">
        <v>166</v>
      </c>
      <c r="D29" s="27">
        <f>'מסלולי לבני 50-60'!D44</f>
        <v>474.04287142200002</v>
      </c>
    </row>
    <row r="30" spans="1:4" s="16" customFormat="1" ht="15" x14ac:dyDescent="0.2">
      <c r="A30" s="21" t="s">
        <v>169</v>
      </c>
      <c r="B30" s="17"/>
      <c r="C30" s="25" t="s">
        <v>168</v>
      </c>
      <c r="D30" s="27">
        <f>'מסלולי לבני 50-60'!D46</f>
        <v>0</v>
      </c>
    </row>
    <row r="31" spans="1:4" s="16" customFormat="1" ht="15" x14ac:dyDescent="0.2">
      <c r="A31" s="21" t="s">
        <v>171</v>
      </c>
      <c r="B31" s="17"/>
      <c r="C31" s="25" t="s">
        <v>170</v>
      </c>
      <c r="D31" s="27">
        <f>'מסלולי לבני 50-60'!D48</f>
        <v>28.898502326999974</v>
      </c>
    </row>
    <row r="32" spans="1:4" s="16" customFormat="1" ht="15" x14ac:dyDescent="0.2">
      <c r="A32" s="21" t="s">
        <v>173</v>
      </c>
      <c r="B32" s="17"/>
      <c r="C32" s="25" t="s">
        <v>172</v>
      </c>
      <c r="D32" s="27">
        <f>'מסלולי לבני 50-60'!D50</f>
        <v>3.8527343079999996</v>
      </c>
    </row>
    <row r="33" spans="1:4" s="16" customFormat="1" ht="15.75" x14ac:dyDescent="0.25">
      <c r="A33" s="15" t="s">
        <v>175</v>
      </c>
      <c r="B33" s="17"/>
      <c r="C33" s="25" t="s">
        <v>174</v>
      </c>
      <c r="D33" s="27">
        <f>'מסלולי לבני 50-60'!D52</f>
        <v>2.1029990521512477E-3</v>
      </c>
    </row>
    <row r="34" spans="1:4" s="16" customFormat="1" ht="15.75" x14ac:dyDescent="0.25">
      <c r="A34" s="15" t="s">
        <v>177</v>
      </c>
      <c r="B34" s="17"/>
      <c r="C34" s="25" t="s">
        <v>176</v>
      </c>
      <c r="D34" s="27">
        <f>'מסלולי לבני 50-60'!D53</f>
        <v>2.3E-3</v>
      </c>
    </row>
    <row r="35" spans="1:4" s="16" customFormat="1" ht="15.75" x14ac:dyDescent="0.25">
      <c r="A35" s="15" t="s">
        <v>179</v>
      </c>
      <c r="B35" s="17"/>
      <c r="C35" s="25" t="s">
        <v>178</v>
      </c>
      <c r="D35" s="27">
        <f>'מסלולי לבני 50-60'!D54</f>
        <v>1.970009478487523E-4</v>
      </c>
    </row>
    <row r="36" spans="1:4" s="16" customFormat="1" ht="15.75" x14ac:dyDescent="0.25">
      <c r="A36" s="15" t="s">
        <v>181</v>
      </c>
      <c r="B36" s="17"/>
      <c r="C36" s="25" t="s">
        <v>180</v>
      </c>
      <c r="D36" s="27">
        <f>'מסלולי לבני 50-60'!D56</f>
        <v>0</v>
      </c>
    </row>
    <row r="37" spans="1:4" s="16" customFormat="1" ht="15.75" x14ac:dyDescent="0.25">
      <c r="A37" s="15" t="s">
        <v>183</v>
      </c>
      <c r="B37" s="17"/>
      <c r="C37" s="25" t="s">
        <v>182</v>
      </c>
      <c r="D37" s="27">
        <f>'מסלולי לבני 50-60'!D57</f>
        <v>2.1245788420931823E-3</v>
      </c>
    </row>
    <row r="38" spans="1:4" s="16" customFormat="1" ht="15.75" x14ac:dyDescent="0.25">
      <c r="A38" s="15" t="s">
        <v>118</v>
      </c>
      <c r="B38" s="17"/>
      <c r="C38" s="25"/>
    </row>
    <row r="39" spans="1:4" s="16" customFormat="1" ht="15.75" x14ac:dyDescent="0.25">
      <c r="A39" s="15" t="s">
        <v>121</v>
      </c>
      <c r="B39" s="17"/>
      <c r="C39" s="25" t="s">
        <v>184</v>
      </c>
      <c r="D39" s="27">
        <f>'מסלולי לבני 50-60'!D60</f>
        <v>4922.3153179935016</v>
      </c>
    </row>
    <row r="40" spans="1:4" s="16" customFormat="1" ht="15.75" x14ac:dyDescent="0.25">
      <c r="A40" s="15" t="s">
        <v>186</v>
      </c>
      <c r="B40" s="17"/>
      <c r="C40" s="25" t="s">
        <v>185</v>
      </c>
      <c r="D40" s="27">
        <f>'מסלולי לבני 50-60'!D62</f>
        <v>2.8341288257208688E-3</v>
      </c>
    </row>
    <row r="41" spans="1:4" s="16" customFormat="1" ht="15.75" x14ac:dyDescent="0.25">
      <c r="A41" s="15" t="s">
        <v>21</v>
      </c>
      <c r="B41" s="17"/>
      <c r="C41" s="25"/>
    </row>
    <row r="42" spans="1:4" s="16" customFormat="1" ht="15.75" x14ac:dyDescent="0.25">
      <c r="A42" s="15" t="s">
        <v>188</v>
      </c>
      <c r="B42" s="17"/>
      <c r="C42" s="25" t="s">
        <v>187</v>
      </c>
      <c r="D42" s="27">
        <f>'מסלולי לבני 50-60'!D65</f>
        <v>3.0000000000000001E-3</v>
      </c>
    </row>
    <row r="43" spans="1:4" s="16" customFormat="1" ht="15.75" x14ac:dyDescent="0.25">
      <c r="A43" s="15" t="s">
        <v>190</v>
      </c>
      <c r="B43" s="17"/>
      <c r="C43" s="25" t="s">
        <v>189</v>
      </c>
      <c r="D43" s="27">
        <f>'מסלולי לבני 50-60'!D67</f>
        <v>3.7311297735696217E-3</v>
      </c>
    </row>
  </sheetData>
  <autoFilter ref="A1:D6" xr:uid="{9008F03B-2F55-4D4B-AAFB-58B9EE36EA71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BB78-73B0-4B03-8F69-013A93FD2382}">
  <sheetPr codeName="גיליון1">
    <tabColor rgb="FF002060"/>
  </sheetPr>
  <dimension ref="B2:F67"/>
  <sheetViews>
    <sheetView showGridLines="0" rightToLeft="1" tabSelected="1" zoomScale="90" zoomScaleNormal="90" workbookViewId="0">
      <selection activeCell="C21" sqref="C21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625" style="12" bestFit="1" customWidth="1"/>
    <col min="5" max="16384" width="9.125" style="3"/>
  </cols>
  <sheetData>
    <row r="2" spans="2:5" ht="18" customHeight="1" x14ac:dyDescent="0.3">
      <c r="B2" s="10" t="s">
        <v>204</v>
      </c>
      <c r="C2" s="2"/>
    </row>
    <row r="3" spans="2:5" ht="18" customHeight="1" x14ac:dyDescent="0.3">
      <c r="B3" s="8"/>
    </row>
    <row r="4" spans="2:5" ht="18" customHeight="1" x14ac:dyDescent="0.3">
      <c r="B4" s="9" t="s">
        <v>205</v>
      </c>
      <c r="C4" s="2"/>
      <c r="D4" s="11" t="s">
        <v>96</v>
      </c>
    </row>
    <row r="5" spans="2:5" ht="18" customHeight="1" x14ac:dyDescent="0.25">
      <c r="B5" s="5"/>
      <c r="C5" s="2"/>
      <c r="D5" s="13"/>
    </row>
    <row r="6" spans="2:5" ht="18" customHeight="1" x14ac:dyDescent="0.25">
      <c r="B6" s="1" t="s">
        <v>113</v>
      </c>
    </row>
    <row r="7" spans="2:5" ht="18" customHeight="1" x14ac:dyDescent="0.25">
      <c r="B7" s="6" t="s">
        <v>2</v>
      </c>
      <c r="D7" s="12">
        <f>SUM(D8:D9)</f>
        <v>497.99654000900034</v>
      </c>
    </row>
    <row r="8" spans="2:5" ht="18" customHeight="1" x14ac:dyDescent="0.25">
      <c r="C8" s="3" t="s">
        <v>0</v>
      </c>
      <c r="D8" s="12">
        <f>'מסלולי לבני 50-60'!D8+'מסלול לבני 60 ומעלה'!D8+'מסלול ללא מניות'!D8+'מסלול מניות'!D8+'מסלול לבני 50 ומטה'!D8</f>
        <v>49.139107679999995</v>
      </c>
      <c r="E8" s="12"/>
    </row>
    <row r="9" spans="2:5" ht="18" customHeight="1" x14ac:dyDescent="0.25">
      <c r="C9" s="3" t="s">
        <v>1</v>
      </c>
      <c r="D9" s="12">
        <f>'מסלולי לבני 50-60'!D9+'מסלול לבני 60 ומעלה'!D9+'מסלול ללא מניות'!D9+'מסלול מניות'!D9+'מסלול לבני 50 ומטה'!D9</f>
        <v>448.85743232900035</v>
      </c>
      <c r="E9" s="12"/>
    </row>
    <row r="10" spans="2:5" ht="18" customHeight="1" x14ac:dyDescent="0.25">
      <c r="E10" s="12"/>
    </row>
    <row r="11" spans="2:5" ht="18" customHeight="1" x14ac:dyDescent="0.25">
      <c r="B11" s="6" t="s">
        <v>9</v>
      </c>
      <c r="D11" s="12">
        <f>SUM(D13)</f>
        <v>41.5</v>
      </c>
      <c r="E11" s="12"/>
    </row>
    <row r="12" spans="2:5" ht="18" customHeight="1" x14ac:dyDescent="0.25">
      <c r="C12" s="4" t="s">
        <v>3</v>
      </c>
      <c r="D12" s="12">
        <v>0</v>
      </c>
      <c r="E12" s="12"/>
    </row>
    <row r="13" spans="2:5" ht="18" customHeight="1" x14ac:dyDescent="0.25">
      <c r="C13" s="4" t="s">
        <v>4</v>
      </c>
      <c r="D13" s="12">
        <f>'נספח 2'!D27</f>
        <v>41.5</v>
      </c>
      <c r="E13" s="12"/>
    </row>
    <row r="14" spans="2:5" ht="18" customHeight="1" x14ac:dyDescent="0.25">
      <c r="C14" s="4"/>
      <c r="E14" s="12"/>
    </row>
    <row r="15" spans="2:5" ht="18" customHeight="1" x14ac:dyDescent="0.25">
      <c r="B15" s="6" t="s">
        <v>5</v>
      </c>
      <c r="D15" s="12">
        <f>SUM(D16:D17)</f>
        <v>5.85</v>
      </c>
      <c r="E15" s="12"/>
    </row>
    <row r="16" spans="2:5" ht="18" customHeight="1" x14ac:dyDescent="0.25">
      <c r="C16" s="4" t="s">
        <v>6</v>
      </c>
      <c r="D16" s="12">
        <v>0</v>
      </c>
      <c r="E16" s="12"/>
    </row>
    <row r="17" spans="2:6" ht="18" customHeight="1" x14ac:dyDescent="0.25">
      <c r="C17" s="4" t="s">
        <v>7</v>
      </c>
      <c r="D17" s="12">
        <v>5.85</v>
      </c>
      <c r="E17" s="12"/>
    </row>
    <row r="18" spans="2:6" ht="18" customHeight="1" x14ac:dyDescent="0.25">
      <c r="E18" s="12"/>
    </row>
    <row r="19" spans="2:6" ht="18" customHeight="1" x14ac:dyDescent="0.25">
      <c r="B19" s="6" t="s">
        <v>8</v>
      </c>
      <c r="D19" s="12">
        <f>'מסלולי לבני 50-60'!D19+'מסלול לבני 60 ומעלה'!D19+'מסלול ללא מניות'!D19+'מסלול מניות'!D19+'מסלול לבני 50 ומטה'!D19</f>
        <v>826.346</v>
      </c>
      <c r="E19" s="12"/>
    </row>
    <row r="20" spans="2:6" ht="18" customHeight="1" x14ac:dyDescent="0.25">
      <c r="B20" s="6"/>
      <c r="E20" s="12"/>
    </row>
    <row r="21" spans="2:6" ht="18" customHeight="1" x14ac:dyDescent="0.25">
      <c r="B21" s="6" t="s">
        <v>111</v>
      </c>
      <c r="D21" s="12">
        <v>0</v>
      </c>
      <c r="E21" s="12"/>
    </row>
    <row r="22" spans="2:6" ht="18" customHeight="1" x14ac:dyDescent="0.25">
      <c r="B22" s="6"/>
      <c r="E22" s="12"/>
    </row>
    <row r="23" spans="2:6" ht="18" customHeight="1" x14ac:dyDescent="0.25">
      <c r="B23" s="6" t="s">
        <v>112</v>
      </c>
      <c r="D23" s="12">
        <v>0</v>
      </c>
      <c r="E23" s="12"/>
    </row>
    <row r="24" spans="2:6" ht="18" customHeight="1" x14ac:dyDescent="0.25">
      <c r="B24" s="6"/>
      <c r="E24" s="12"/>
    </row>
    <row r="25" spans="2:6" ht="18" customHeight="1" x14ac:dyDescent="0.25">
      <c r="B25" s="6" t="s">
        <v>192</v>
      </c>
      <c r="D25" s="12">
        <f>D7+D11+D15+D19</f>
        <v>1371.6925400090004</v>
      </c>
      <c r="E25" s="12"/>
    </row>
    <row r="26" spans="2:6" ht="18" customHeight="1" x14ac:dyDescent="0.25">
      <c r="B26" s="6"/>
      <c r="E26" s="12"/>
    </row>
    <row r="27" spans="2:6" ht="18" customHeight="1" x14ac:dyDescent="0.25">
      <c r="B27" s="6" t="s">
        <v>193</v>
      </c>
      <c r="D27" s="12">
        <f>AVERAGE(D28:D29)</f>
        <v>1909083.4213200002</v>
      </c>
      <c r="E27" s="12"/>
      <c r="F27" s="59"/>
    </row>
    <row r="28" spans="2:6" ht="18" customHeight="1" x14ac:dyDescent="0.25">
      <c r="C28" s="3" t="s">
        <v>206</v>
      </c>
      <c r="D28" s="12">
        <f>'מסלולי לבני 50-60'!D28+'מסלול לבני 60 ומעלה'!D28+'מסלול ללא מניות'!D28+'מסלול מניות'!D28+'מסלול לבני 50 ומטה'!D28</f>
        <v>1927641.2113900001</v>
      </c>
      <c r="E28" s="12"/>
      <c r="F28" s="59"/>
    </row>
    <row r="29" spans="2:6" ht="18" customHeight="1" x14ac:dyDescent="0.25">
      <c r="C29" s="3" t="s">
        <v>207</v>
      </c>
      <c r="D29" s="12">
        <f>'מסלולי לבני 50-60'!D29+'מסלול לבני 60 ומעלה'!D29+'מסלול ללא מניות'!D29+'מסלול מניות'!D29+'מסלול לבני 50 ומטה'!D29</f>
        <v>1890525.6312500001</v>
      </c>
      <c r="E29" s="12"/>
      <c r="F29" s="59"/>
    </row>
    <row r="30" spans="2:6" ht="18" customHeight="1" x14ac:dyDescent="0.25">
      <c r="E30" s="12"/>
    </row>
    <row r="31" spans="2:6" ht="18" customHeight="1" x14ac:dyDescent="0.25">
      <c r="B31" s="6" t="s">
        <v>194</v>
      </c>
      <c r="D31" s="58">
        <f>D25/D27</f>
        <v>7.1850843430433704E-4</v>
      </c>
      <c r="E31" s="58"/>
    </row>
    <row r="32" spans="2:6" ht="18" customHeight="1" x14ac:dyDescent="0.25">
      <c r="B32" s="6"/>
      <c r="E32" s="12"/>
    </row>
    <row r="33" spans="2:5" ht="18" customHeight="1" x14ac:dyDescent="0.25">
      <c r="B33" s="5" t="s">
        <v>10</v>
      </c>
      <c r="E33" s="12"/>
    </row>
    <row r="34" spans="2:5" ht="18" customHeight="1" x14ac:dyDescent="0.25">
      <c r="B34" s="6" t="s">
        <v>116</v>
      </c>
      <c r="D34" s="12">
        <f>'נספח 3'!C132</f>
        <v>145.51</v>
      </c>
      <c r="E34" s="12"/>
    </row>
    <row r="35" spans="2:5" ht="18" customHeight="1" x14ac:dyDescent="0.25">
      <c r="B35" s="6"/>
      <c r="E35" s="12"/>
    </row>
    <row r="36" spans="2:5" ht="18" customHeight="1" x14ac:dyDescent="0.25">
      <c r="B36" s="7" t="s">
        <v>10</v>
      </c>
      <c r="E36" s="12"/>
    </row>
    <row r="37" spans="2:5" ht="18" customHeight="1" x14ac:dyDescent="0.25">
      <c r="B37" s="6" t="s">
        <v>195</v>
      </c>
      <c r="D37" s="12">
        <f>SUM(D38:D50)</f>
        <v>3664.987887155502</v>
      </c>
      <c r="E37" s="12"/>
    </row>
    <row r="38" spans="2:5" ht="18" customHeight="1" x14ac:dyDescent="0.25">
      <c r="C38" s="6" t="s">
        <v>11</v>
      </c>
      <c r="D38" s="12">
        <f>'מסלולי לבני 50-60'!D38+'מסלול לבני 60 ומעלה'!D38+'מסלול ללא מניות'!D37+'מסלול מניות'!D38+'מסלול לבני 50 ומטה'!D38</f>
        <v>1571.8019194115016</v>
      </c>
      <c r="E38" s="12"/>
    </row>
    <row r="39" spans="2:5" ht="18" customHeight="1" x14ac:dyDescent="0.25">
      <c r="C39" s="6" t="s">
        <v>92</v>
      </c>
      <c r="D39" s="12">
        <f>'מסלולי לבני 50-60'!D39+'מסלול לבני 60 ומעלה'!D39+'מסלול ללא מניות'!D38+'מסלול מניות'!D39+'מסלול לבני 50 ומטה'!D39</f>
        <v>1572.8624505099999</v>
      </c>
      <c r="E39" s="12"/>
    </row>
    <row r="40" spans="2:5" ht="18" customHeight="1" x14ac:dyDescent="0.25">
      <c r="C40" s="6" t="s">
        <v>93</v>
      </c>
      <c r="D40" s="12">
        <f>'מסלולי לבני 50-60'!D40+'מסלול לבני 60 ומעלה'!D40+'מסלול ללא מניות'!D39+'מסלול מניות'!D40+'מסלול לבני 50 ומטה'!D40</f>
        <v>0</v>
      </c>
      <c r="E40" s="12"/>
    </row>
    <row r="41" spans="2:5" ht="18" customHeight="1" x14ac:dyDescent="0.25">
      <c r="C41" s="6" t="s">
        <v>12</v>
      </c>
      <c r="D41" s="12">
        <f>'מסלולי לבני 50-60'!D41+'מסלול לבני 60 ומעלה'!D41+'מסלול ללא מניות'!D40+'מסלול מניות'!D41+'מסלול לבני 50 ומטה'!D41</f>
        <v>0</v>
      </c>
      <c r="E41" s="12"/>
    </row>
    <row r="42" spans="2:5" ht="18" customHeight="1" x14ac:dyDescent="0.25">
      <c r="C42" s="6" t="s">
        <v>13</v>
      </c>
      <c r="D42" s="12">
        <f>'מסלולי לבני 50-60'!D42+'מסלול לבני 60 ומעלה'!D42+'מסלול ללא מניות'!D41+'מסלול מניות'!D42+'מסלול לבני 50 ומטה'!D42</f>
        <v>8.5319639649999992</v>
      </c>
      <c r="E42" s="12"/>
    </row>
    <row r="43" spans="2:5" ht="18" customHeight="1" x14ac:dyDescent="0.25">
      <c r="C43" s="6" t="s">
        <v>14</v>
      </c>
      <c r="D43" s="12">
        <f>'מסלולי לבני 50-60'!D43+'מסלול לבני 60 ומעלה'!D43+'מסלול ללא מניות'!D42+'מסלול מניות'!D43+'מסלול לבני 50 ומטה'!D43</f>
        <v>0</v>
      </c>
      <c r="E43" s="12"/>
    </row>
    <row r="44" spans="2:5" ht="18" customHeight="1" x14ac:dyDescent="0.25">
      <c r="C44" s="6" t="s">
        <v>15</v>
      </c>
      <c r="D44" s="12">
        <f>'מסלולי לבני 50-60'!D44+'מסלול לבני 60 ומעלה'!D44+'מסלול ללא מניות'!D43+'מסלול מניות'!D44+'מסלול לבני 50 ומטה'!D44</f>
        <v>479.04031663400002</v>
      </c>
      <c r="E44" s="12"/>
    </row>
    <row r="45" spans="2:5" ht="18" customHeight="1" x14ac:dyDescent="0.25">
      <c r="C45" s="6" t="s">
        <v>16</v>
      </c>
      <c r="D45" s="12">
        <f>'מסלולי לבני 50-60'!D45+'מסלול לבני 60 ומעלה'!D45+'מסלול ללא מניות'!D44+'מסלול מניות'!D45+'מסלול לבני 50 ומטה'!D45</f>
        <v>0</v>
      </c>
      <c r="E45" s="12"/>
    </row>
    <row r="46" spans="2:5" ht="18" customHeight="1" x14ac:dyDescent="0.25">
      <c r="C46" s="3" t="s">
        <v>17</v>
      </c>
      <c r="D46" s="12">
        <f>'מסלולי לבני 50-60'!D46+'מסלול לבני 60 ומעלה'!D46+'מסלול ללא מניות'!D45+'מסלול מניות'!D46+'מסלול לבני 50 ומטה'!D46</f>
        <v>0</v>
      </c>
      <c r="E46" s="12"/>
    </row>
    <row r="47" spans="2:5" ht="18" customHeight="1" x14ac:dyDescent="0.25">
      <c r="C47" s="3" t="s">
        <v>18</v>
      </c>
      <c r="D47" s="12">
        <f>'מסלולי לבני 50-60'!D47+'מסלול לבני 60 ומעלה'!D47+'מסלול ללא מניות'!D46+'מסלול מניות'!D47+'מסלול לבני 50 ומטה'!D47</f>
        <v>0</v>
      </c>
      <c r="E47" s="12"/>
    </row>
    <row r="48" spans="2:5" ht="18" customHeight="1" x14ac:dyDescent="0.25">
      <c r="C48" s="3" t="s">
        <v>19</v>
      </c>
      <c r="D48" s="12">
        <f>'מסלולי לבני 50-60'!D48+'מסלול לבני 60 ומעלה'!D48+'מסלול ללא מניות'!D47+'מסלול מניות'!D48+'מסלול לבני 50 ומטה'!D48</f>
        <v>28.898502326999974</v>
      </c>
      <c r="E48" s="12"/>
    </row>
    <row r="49" spans="2:5" ht="18" customHeight="1" x14ac:dyDescent="0.25">
      <c r="C49" s="3" t="s">
        <v>18</v>
      </c>
      <c r="D49" s="12">
        <f>'מסלולי לבני 50-60'!D49+'מסלול לבני 60 ומעלה'!D49+'מסלול ללא מניות'!D48+'מסלול מניות'!D49+'מסלול לבני 50 ומטה'!D49</f>
        <v>0</v>
      </c>
      <c r="E49" s="12"/>
    </row>
    <row r="50" spans="2:5" ht="18" customHeight="1" x14ac:dyDescent="0.25">
      <c r="C50" s="3" t="s">
        <v>20</v>
      </c>
      <c r="D50" s="12">
        <f>'מסלולי לבני 50-60'!D50+'מסלול לבני 60 ומעלה'!D50+'מסלול ללא מניות'!D49+'מסלול מניות'!D50+'מסלול לבני 50 ומטה'!D50</f>
        <v>3.8527343079999996</v>
      </c>
      <c r="E50" s="12"/>
    </row>
    <row r="51" spans="2:5" ht="18" customHeight="1" x14ac:dyDescent="0.25">
      <c r="E51" s="12"/>
    </row>
    <row r="52" spans="2:5" ht="18" customHeight="1" x14ac:dyDescent="0.25">
      <c r="B52" s="6" t="s">
        <v>196</v>
      </c>
      <c r="D52" s="58">
        <f>D37/D29</f>
        <v>1.9386078805671849E-3</v>
      </c>
      <c r="E52" s="12"/>
    </row>
    <row r="53" spans="2:5" ht="18" customHeight="1" x14ac:dyDescent="0.25">
      <c r="B53" s="6" t="s">
        <v>117</v>
      </c>
      <c r="D53" s="58"/>
      <c r="E53" s="12"/>
    </row>
    <row r="54" spans="2:5" ht="18" customHeight="1" x14ac:dyDescent="0.25">
      <c r="B54" s="6" t="s">
        <v>197</v>
      </c>
      <c r="D54" s="58"/>
      <c r="E54" s="12"/>
    </row>
    <row r="55" spans="2:5" ht="18" customHeight="1" x14ac:dyDescent="0.25">
      <c r="B55" s="6"/>
      <c r="E55" s="12"/>
    </row>
    <row r="56" spans="2:5" ht="18" customHeight="1" x14ac:dyDescent="0.25">
      <c r="B56" s="6" t="s">
        <v>198</v>
      </c>
      <c r="D56" s="12">
        <f>'מסלולי לבני 50-60'!D56+'מסלול לבני 60 ומעלה'!D56+'מסלול ללא מניות'!D55+'מסלול מניות'!D56+'מסלול לבני 50 ומטה'!D56</f>
        <v>0</v>
      </c>
      <c r="E56" s="12"/>
    </row>
    <row r="57" spans="2:5" ht="18" customHeight="1" x14ac:dyDescent="0.25">
      <c r="B57" s="6" t="s">
        <v>199</v>
      </c>
      <c r="D57" s="58">
        <f>(D37-D56)/D29</f>
        <v>1.9386078805671849E-3</v>
      </c>
      <c r="E57" s="58"/>
    </row>
    <row r="58" spans="2:5" ht="18" customHeight="1" x14ac:dyDescent="0.25">
      <c r="B58" s="6"/>
      <c r="E58" s="12"/>
    </row>
    <row r="59" spans="2:5" ht="18" customHeight="1" x14ac:dyDescent="0.25">
      <c r="B59" s="7" t="s">
        <v>118</v>
      </c>
      <c r="E59" s="12"/>
    </row>
    <row r="60" spans="2:5" ht="18" customHeight="1" x14ac:dyDescent="0.25">
      <c r="B60" s="6" t="s">
        <v>200</v>
      </c>
      <c r="D60" s="12">
        <f>D25+D37-D56</f>
        <v>5036.6804271645024</v>
      </c>
      <c r="E60" s="12"/>
    </row>
    <row r="61" spans="2:5" ht="18" customHeight="1" x14ac:dyDescent="0.25">
      <c r="B61" s="6"/>
      <c r="E61" s="12"/>
    </row>
    <row r="62" spans="2:5" ht="18" customHeight="1" x14ac:dyDescent="0.25">
      <c r="B62" s="6" t="s">
        <v>201</v>
      </c>
      <c r="D62" s="58">
        <f>D60/D27</f>
        <v>2.6382715238719026E-3</v>
      </c>
      <c r="E62" s="12"/>
    </row>
    <row r="63" spans="2:5" ht="18" customHeight="1" x14ac:dyDescent="0.25">
      <c r="B63" s="6"/>
      <c r="E63" s="12"/>
    </row>
    <row r="64" spans="2:5" ht="18" customHeight="1" x14ac:dyDescent="0.25">
      <c r="B64" s="7" t="s">
        <v>119</v>
      </c>
      <c r="E64" s="12"/>
    </row>
    <row r="65" spans="2:5" ht="18" customHeight="1" x14ac:dyDescent="0.25">
      <c r="B65" s="6" t="s">
        <v>120</v>
      </c>
      <c r="D65" s="58"/>
      <c r="E65" s="12"/>
    </row>
    <row r="66" spans="2:5" ht="18" customHeight="1" x14ac:dyDescent="0.25">
      <c r="B66" s="6" t="s">
        <v>208</v>
      </c>
      <c r="E66" s="12"/>
    </row>
    <row r="67" spans="2:5" ht="18" customHeight="1" x14ac:dyDescent="0.25">
      <c r="B67" s="6" t="s">
        <v>202</v>
      </c>
      <c r="D67" s="58">
        <f>D65+D31</f>
        <v>7.1850843430433704E-4</v>
      </c>
      <c r="E67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D13E-5CBA-4810-B42D-82E2A7DEA452}">
  <sheetPr codeName="Sheet3">
    <tabColor rgb="FF002060"/>
  </sheetPr>
  <dimension ref="B2:D67"/>
  <sheetViews>
    <sheetView showGridLines="0" rightToLeft="1" zoomScale="90" zoomScaleNormal="90" workbookViewId="0">
      <selection activeCell="B3" sqref="B3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625" style="12" bestFit="1" customWidth="1"/>
    <col min="5" max="16384" width="9.125" style="3"/>
  </cols>
  <sheetData>
    <row r="2" spans="2:4" ht="18" customHeight="1" x14ac:dyDescent="0.3">
      <c r="B2" s="10" t="s">
        <v>275</v>
      </c>
      <c r="C2" s="2"/>
    </row>
    <row r="3" spans="2:4" ht="18" customHeight="1" x14ac:dyDescent="0.3">
      <c r="B3" s="8"/>
    </row>
    <row r="4" spans="2:4" ht="18" customHeight="1" x14ac:dyDescent="0.3">
      <c r="B4" s="9" t="s">
        <v>205</v>
      </c>
      <c r="C4" s="2"/>
      <c r="D4" s="11" t="s">
        <v>96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113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49.139107679999995</v>
      </c>
    </row>
    <row r="9" spans="2:4" ht="18" customHeight="1" x14ac:dyDescent="0.25">
      <c r="C9" s="3" t="s">
        <v>1</v>
      </c>
      <c r="D9" s="12">
        <v>381.40417940400033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39.450000000000003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5.85</v>
      </c>
    </row>
    <row r="18" spans="2:4" ht="18" customHeight="1" x14ac:dyDescent="0.25"/>
    <row r="19" spans="2:4" ht="18" customHeight="1" x14ac:dyDescent="0.25">
      <c r="B19" s="6" t="s">
        <v>8</v>
      </c>
      <c r="D19" s="12">
        <f>794.483-0.5</f>
        <v>793.98299999999995</v>
      </c>
    </row>
    <row r="20" spans="2:4" ht="18" customHeight="1" x14ac:dyDescent="0.25">
      <c r="B20" s="6"/>
    </row>
    <row r="21" spans="2:4" ht="18" customHeight="1" x14ac:dyDescent="0.25">
      <c r="B21" s="6" t="s">
        <v>111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112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192</v>
      </c>
      <c r="D25" s="12">
        <f>SUM(D8:D24)</f>
        <v>1269.8262870840003</v>
      </c>
    </row>
    <row r="26" spans="2:4" ht="18" customHeight="1" x14ac:dyDescent="0.25">
      <c r="B26" s="6"/>
    </row>
    <row r="27" spans="2:4" ht="18" customHeight="1" x14ac:dyDescent="0.25">
      <c r="B27" s="6" t="s">
        <v>193</v>
      </c>
      <c r="D27" s="12">
        <v>1736800.1317799999</v>
      </c>
    </row>
    <row r="28" spans="2:4" ht="18" customHeight="1" x14ac:dyDescent="0.25">
      <c r="C28" s="3" t="s">
        <v>206</v>
      </c>
      <c r="D28" s="12">
        <v>1754441.1725699999</v>
      </c>
    </row>
    <row r="29" spans="2:4" ht="18" customHeight="1" x14ac:dyDescent="0.25">
      <c r="C29" s="3" t="s">
        <v>207</v>
      </c>
      <c r="D29" s="12">
        <v>1719159.0909899999</v>
      </c>
    </row>
    <row r="30" spans="2:4" ht="18" customHeight="1" x14ac:dyDescent="0.25"/>
    <row r="31" spans="2:4" ht="18" customHeight="1" x14ac:dyDescent="0.25">
      <c r="B31" s="6" t="s">
        <v>194</v>
      </c>
      <c r="D31" s="58">
        <f>D25/D27</f>
        <v>7.3112977356962162E-4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116</v>
      </c>
      <c r="D34" s="12">
        <f>'נספח 3'!C132</f>
        <v>145.51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195</v>
      </c>
      <c r="D37" s="12">
        <f>SUM(D38:D50)</f>
        <v>3652.4890309095017</v>
      </c>
    </row>
    <row r="38" spans="2:4" ht="18" customHeight="1" x14ac:dyDescent="0.25">
      <c r="C38" s="6" t="s">
        <v>11</v>
      </c>
      <c r="D38" s="12">
        <f>'נספח 3'!C29</f>
        <v>1571.8019194115016</v>
      </c>
    </row>
    <row r="39" spans="2:4" ht="18" customHeight="1" x14ac:dyDescent="0.25">
      <c r="C39" s="6" t="s">
        <v>92</v>
      </c>
      <c r="D39" s="12">
        <f>'נספח 3'!C65-'מסלול לבני 60 ומעלה'!D39-'מסלול לבני 50 ומטה'!D39</f>
        <v>1565.57245051</v>
      </c>
    </row>
    <row r="40" spans="2:4" ht="18" customHeight="1" x14ac:dyDescent="0.25">
      <c r="C40" s="6" t="s">
        <v>93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f>2.590552931+5.73</f>
        <v>8.3205529309999999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f>467.282871422+8.76+3.73-5.73</f>
        <v>474.04287142200002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28.898502326999974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3.8527343079999996</v>
      </c>
    </row>
    <row r="51" spans="2:4" ht="18" customHeight="1" x14ac:dyDescent="0.25"/>
    <row r="52" spans="2:4" ht="18" customHeight="1" x14ac:dyDescent="0.25">
      <c r="B52" s="6" t="s">
        <v>196</v>
      </c>
      <c r="D52" s="58">
        <f>D37/D27</f>
        <v>2.1029990521512477E-3</v>
      </c>
    </row>
    <row r="53" spans="2:4" ht="18" customHeight="1" x14ac:dyDescent="0.25">
      <c r="B53" s="6" t="s">
        <v>117</v>
      </c>
      <c r="D53" s="58">
        <v>2.3E-3</v>
      </c>
    </row>
    <row r="54" spans="2:4" ht="18" customHeight="1" x14ac:dyDescent="0.25">
      <c r="B54" s="6" t="s">
        <v>197</v>
      </c>
      <c r="D54" s="58">
        <f>D53-D52</f>
        <v>1.970009478487523E-4</v>
      </c>
    </row>
    <row r="55" spans="2:4" ht="18" customHeight="1" x14ac:dyDescent="0.25">
      <c r="B55" s="6"/>
    </row>
    <row r="56" spans="2:4" ht="18" customHeight="1" x14ac:dyDescent="0.25">
      <c r="B56" s="6" t="s">
        <v>198</v>
      </c>
    </row>
    <row r="57" spans="2:4" ht="18" customHeight="1" x14ac:dyDescent="0.25">
      <c r="B57" s="6" t="s">
        <v>199</v>
      </c>
      <c r="D57" s="58">
        <f>(D37-D56)/D29</f>
        <v>2.1245788420931823E-3</v>
      </c>
    </row>
    <row r="58" spans="2:4" ht="18" customHeight="1" x14ac:dyDescent="0.25">
      <c r="B58" s="6"/>
    </row>
    <row r="59" spans="2:4" ht="18" customHeight="1" x14ac:dyDescent="0.25">
      <c r="B59" s="7" t="s">
        <v>118</v>
      </c>
    </row>
    <row r="60" spans="2:4" ht="18" customHeight="1" x14ac:dyDescent="0.25">
      <c r="B60" s="6" t="s">
        <v>200</v>
      </c>
      <c r="D60" s="12">
        <f>(D25+D37-D56)</f>
        <v>4922.3153179935016</v>
      </c>
    </row>
    <row r="61" spans="2:4" ht="18" customHeight="1" x14ac:dyDescent="0.25">
      <c r="B61" s="6"/>
    </row>
    <row r="62" spans="2:4" ht="18" customHeight="1" x14ac:dyDescent="0.25">
      <c r="B62" s="6" t="s">
        <v>201</v>
      </c>
      <c r="D62" s="58">
        <f>D60/D27</f>
        <v>2.8341288257208688E-3</v>
      </c>
    </row>
    <row r="63" spans="2:4" ht="18" customHeight="1" x14ac:dyDescent="0.25">
      <c r="B63" s="6"/>
    </row>
    <row r="64" spans="2:4" ht="18" customHeight="1" x14ac:dyDescent="0.25">
      <c r="B64" s="7" t="s">
        <v>119</v>
      </c>
    </row>
    <row r="65" spans="2:4" ht="18" customHeight="1" x14ac:dyDescent="0.25">
      <c r="B65" s="6" t="s">
        <v>120</v>
      </c>
      <c r="D65" s="58">
        <v>3.0000000000000001E-3</v>
      </c>
    </row>
    <row r="66" spans="2:4" ht="18" customHeight="1" x14ac:dyDescent="0.25">
      <c r="B66" s="6" t="s">
        <v>208</v>
      </c>
    </row>
    <row r="67" spans="2:4" ht="18" customHeight="1" x14ac:dyDescent="0.25">
      <c r="B67" s="6" t="s">
        <v>202</v>
      </c>
      <c r="D67" s="58">
        <f>D65+D31</f>
        <v>3.7311297735696217E-3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010-717C-43D3-8F76-9378E7CBE06F}">
  <sheetPr codeName="גיליון5">
    <tabColor rgb="FF002060"/>
  </sheetPr>
  <dimension ref="B2:D67"/>
  <sheetViews>
    <sheetView showGridLines="0" rightToLeft="1" zoomScale="90" zoomScaleNormal="90" workbookViewId="0">
      <selection activeCell="B3" sqref="B3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278</v>
      </c>
      <c r="C2" s="2"/>
    </row>
    <row r="3" spans="2:4" ht="18" customHeight="1" x14ac:dyDescent="0.3">
      <c r="B3" s="8"/>
    </row>
    <row r="4" spans="2:4" ht="18" customHeight="1" x14ac:dyDescent="0.3">
      <c r="B4" s="9" t="s">
        <v>205</v>
      </c>
      <c r="C4" s="2"/>
      <c r="D4" s="11" t="s">
        <v>96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113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18.688743088000003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0.73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f>14.461-0.461</f>
        <v>14</v>
      </c>
    </row>
    <row r="20" spans="2:4" ht="18" customHeight="1" x14ac:dyDescent="0.25">
      <c r="B20" s="6"/>
    </row>
    <row r="21" spans="2:4" ht="18" customHeight="1" x14ac:dyDescent="0.25">
      <c r="B21" s="6" t="s">
        <v>111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112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192</v>
      </c>
      <c r="D25" s="12">
        <f>SUM(D8:D24)</f>
        <v>33.418743087999999</v>
      </c>
    </row>
    <row r="26" spans="2:4" ht="18" customHeight="1" x14ac:dyDescent="0.25">
      <c r="B26" s="6"/>
    </row>
    <row r="27" spans="2:4" ht="18" customHeight="1" x14ac:dyDescent="0.25">
      <c r="B27" s="6" t="s">
        <v>193</v>
      </c>
      <c r="D27" s="12">
        <v>54460.456185000003</v>
      </c>
    </row>
    <row r="28" spans="2:4" ht="18" customHeight="1" x14ac:dyDescent="0.25">
      <c r="C28" s="3" t="s">
        <v>206</v>
      </c>
      <c r="D28" s="12">
        <v>56063.582750000001</v>
      </c>
    </row>
    <row r="29" spans="2:4" ht="18" customHeight="1" x14ac:dyDescent="0.25">
      <c r="C29" s="3" t="s">
        <v>207</v>
      </c>
      <c r="D29" s="12">
        <v>52857.329619999997</v>
      </c>
    </row>
    <row r="30" spans="2:4" ht="18" customHeight="1" x14ac:dyDescent="0.25"/>
    <row r="31" spans="2:4" ht="18" customHeight="1" x14ac:dyDescent="0.25">
      <c r="B31" s="6" t="s">
        <v>194</v>
      </c>
      <c r="D31" s="58">
        <f>D25/D27</f>
        <v>6.1363318321238183E-4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116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195</v>
      </c>
      <c r="D37" s="12">
        <f>SUM(D39:D49)</f>
        <v>7.1223767200000001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92</v>
      </c>
      <c r="D39" s="12">
        <v>4.47</v>
      </c>
    </row>
    <row r="40" spans="2:4" ht="18" customHeight="1" x14ac:dyDescent="0.25">
      <c r="C40" s="6" t="s">
        <v>93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0.171880381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f>1.130496339+1.35</f>
        <v>2.4804963390000001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196</v>
      </c>
      <c r="D52" s="58">
        <f>D37/D29</f>
        <v>1.3474719156650428E-4</v>
      </c>
    </row>
    <row r="53" spans="2:4" ht="18" customHeight="1" x14ac:dyDescent="0.25">
      <c r="B53" s="6" t="s">
        <v>117</v>
      </c>
      <c r="D53" s="58">
        <v>2.0000000000000001E-4</v>
      </c>
    </row>
    <row r="54" spans="2:4" ht="18" customHeight="1" x14ac:dyDescent="0.25">
      <c r="B54" s="6" t="s">
        <v>197</v>
      </c>
      <c r="D54" s="58">
        <f>D53-D52</f>
        <v>6.525280843349573E-5</v>
      </c>
    </row>
    <row r="55" spans="2:4" ht="18" customHeight="1" x14ac:dyDescent="0.25">
      <c r="B55" s="6"/>
    </row>
    <row r="56" spans="2:4" ht="18" customHeight="1" x14ac:dyDescent="0.25">
      <c r="B56" s="6" t="s">
        <v>198</v>
      </c>
    </row>
    <row r="57" spans="2:4" ht="18" customHeight="1" x14ac:dyDescent="0.25">
      <c r="B57" s="6" t="s">
        <v>199</v>
      </c>
      <c r="D57" s="58">
        <f>(D37-D56)/D29</f>
        <v>1.3474719156650428E-4</v>
      </c>
    </row>
    <row r="58" spans="2:4" ht="18" customHeight="1" x14ac:dyDescent="0.25">
      <c r="B58" s="6"/>
    </row>
    <row r="59" spans="2:4" ht="18" customHeight="1" x14ac:dyDescent="0.25">
      <c r="B59" s="7" t="s">
        <v>118</v>
      </c>
    </row>
    <row r="60" spans="2:4" ht="18" customHeight="1" x14ac:dyDescent="0.25">
      <c r="B60" s="6" t="s">
        <v>200</v>
      </c>
      <c r="D60" s="12">
        <f>(D25+D37-D56)</f>
        <v>40.541119807999998</v>
      </c>
    </row>
    <row r="61" spans="2:4" ht="18" customHeight="1" x14ac:dyDescent="0.25">
      <c r="B61" s="6"/>
    </row>
    <row r="62" spans="2:4" ht="18" customHeight="1" x14ac:dyDescent="0.25">
      <c r="B62" s="6" t="s">
        <v>201</v>
      </c>
      <c r="D62" s="58">
        <f>D60/D27</f>
        <v>7.44413885742775E-4</v>
      </c>
    </row>
    <row r="63" spans="2:4" ht="18" customHeight="1" x14ac:dyDescent="0.25">
      <c r="B63" s="6"/>
    </row>
    <row r="64" spans="2:4" ht="18" customHeight="1" x14ac:dyDescent="0.25">
      <c r="B64" s="7" t="s">
        <v>119</v>
      </c>
    </row>
    <row r="65" spans="2:4" ht="18" customHeight="1" x14ac:dyDescent="0.25">
      <c r="B65" s="6" t="s">
        <v>120</v>
      </c>
      <c r="D65" s="58">
        <v>2.0000000000000001E-4</v>
      </c>
    </row>
    <row r="66" spans="2:4" ht="18" customHeight="1" x14ac:dyDescent="0.25">
      <c r="B66" s="6" t="s">
        <v>208</v>
      </c>
    </row>
    <row r="67" spans="2:4" ht="18" customHeight="1" x14ac:dyDescent="0.25">
      <c r="B67" s="6" t="s">
        <v>202</v>
      </c>
      <c r="D67" s="58">
        <f>D65+D31</f>
        <v>8.1363318321238181E-4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1B3B-C2D0-4102-B129-3258FDBB4890}">
  <sheetPr codeName="גיליון2">
    <tabColor rgb="FF002060"/>
  </sheetPr>
  <dimension ref="B2:D67"/>
  <sheetViews>
    <sheetView showGridLines="0" rightToLeft="1" zoomScale="98" zoomScaleNormal="98" workbookViewId="0">
      <selection activeCell="B3" sqref="B3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279</v>
      </c>
      <c r="C2" s="2"/>
    </row>
    <row r="3" spans="2:4" ht="18" customHeight="1" x14ac:dyDescent="0.3">
      <c r="B3" s="8"/>
    </row>
    <row r="4" spans="2:4" ht="18" customHeight="1" x14ac:dyDescent="0.3">
      <c r="B4" s="9" t="s">
        <v>205</v>
      </c>
      <c r="C4" s="2"/>
      <c r="D4" s="11" t="s">
        <v>96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113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31.243973680999993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0.92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f>16.336-0.336</f>
        <v>15.999999999999998</v>
      </c>
    </row>
    <row r="20" spans="2:4" ht="18" customHeight="1" x14ac:dyDescent="0.25">
      <c r="B20" s="6"/>
    </row>
    <row r="21" spans="2:4" ht="18" customHeight="1" x14ac:dyDescent="0.25">
      <c r="B21" s="6" t="s">
        <v>111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112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192</v>
      </c>
      <c r="D25" s="12">
        <f>SUM(D7:D23)</f>
        <v>48.163973680999995</v>
      </c>
    </row>
    <row r="26" spans="2:4" ht="18" customHeight="1" x14ac:dyDescent="0.25">
      <c r="B26" s="6"/>
    </row>
    <row r="27" spans="2:4" ht="18" customHeight="1" x14ac:dyDescent="0.25">
      <c r="B27" s="6" t="s">
        <v>193</v>
      </c>
      <c r="D27" s="12">
        <v>85108.514999999999</v>
      </c>
    </row>
    <row r="28" spans="2:4" ht="18" customHeight="1" x14ac:dyDescent="0.25">
      <c r="C28" s="3" t="s">
        <v>206</v>
      </c>
      <c r="D28" s="12">
        <v>84111.765719999996</v>
      </c>
    </row>
    <row r="29" spans="2:4" ht="18" customHeight="1" x14ac:dyDescent="0.25">
      <c r="C29" s="3" t="s">
        <v>207</v>
      </c>
      <c r="D29" s="12">
        <v>86105.264280000003</v>
      </c>
    </row>
    <row r="30" spans="2:4" ht="18" customHeight="1" x14ac:dyDescent="0.25"/>
    <row r="31" spans="2:4" ht="18" customHeight="1" x14ac:dyDescent="0.25">
      <c r="B31" s="6" t="s">
        <v>194</v>
      </c>
      <c r="D31" s="58">
        <f>D25/D27</f>
        <v>5.6591251393588518E-4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116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195</v>
      </c>
      <c r="D37" s="12">
        <f>SUM(D38:D50)</f>
        <v>4.8894735520000001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92</v>
      </c>
      <c r="D39" s="12">
        <v>2.82</v>
      </c>
    </row>
    <row r="40" spans="2:4" ht="18" customHeight="1" x14ac:dyDescent="0.25">
      <c r="C40" s="6" t="s">
        <v>93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0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f>2.069473552</f>
        <v>2.0694735519999998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196</v>
      </c>
      <c r="D52" s="58">
        <f>D37/D29</f>
        <v>5.6784838800334499E-5</v>
      </c>
    </row>
    <row r="53" spans="2:4" ht="18" customHeight="1" x14ac:dyDescent="0.25">
      <c r="B53" s="6" t="s">
        <v>117</v>
      </c>
      <c r="D53" s="58">
        <v>1E-4</v>
      </c>
    </row>
    <row r="54" spans="2:4" ht="18" customHeight="1" x14ac:dyDescent="0.25">
      <c r="B54" s="6" t="s">
        <v>197</v>
      </c>
      <c r="D54" s="58">
        <f>D53-D52</f>
        <v>4.3215161199665506E-5</v>
      </c>
    </row>
    <row r="55" spans="2:4" ht="18" customHeight="1" x14ac:dyDescent="0.25">
      <c r="B55" s="6"/>
    </row>
    <row r="56" spans="2:4" ht="18" customHeight="1" x14ac:dyDescent="0.25">
      <c r="B56" s="6" t="s">
        <v>198</v>
      </c>
    </row>
    <row r="57" spans="2:4" ht="18" customHeight="1" x14ac:dyDescent="0.25">
      <c r="B57" s="6" t="s">
        <v>199</v>
      </c>
      <c r="D57" s="58">
        <f>(D37-D56)/D29</f>
        <v>5.6784838800334499E-5</v>
      </c>
    </row>
    <row r="58" spans="2:4" ht="18" customHeight="1" x14ac:dyDescent="0.25">
      <c r="B58" s="6"/>
    </row>
    <row r="59" spans="2:4" ht="18" customHeight="1" x14ac:dyDescent="0.25">
      <c r="B59" s="7" t="s">
        <v>118</v>
      </c>
    </row>
    <row r="60" spans="2:4" ht="18" customHeight="1" x14ac:dyDescent="0.25">
      <c r="B60" s="6" t="s">
        <v>200</v>
      </c>
      <c r="D60" s="12">
        <f>(D25+D37-D56)</f>
        <v>53.053447232999993</v>
      </c>
    </row>
    <row r="61" spans="2:4" ht="18" customHeight="1" x14ac:dyDescent="0.25">
      <c r="B61" s="6"/>
    </row>
    <row r="62" spans="2:4" ht="18" customHeight="1" x14ac:dyDescent="0.25">
      <c r="B62" s="6" t="s">
        <v>201</v>
      </c>
      <c r="D62" s="58">
        <f>D60/D27</f>
        <v>6.2336238898070293E-4</v>
      </c>
    </row>
    <row r="63" spans="2:4" ht="18" customHeight="1" x14ac:dyDescent="0.25">
      <c r="B63" s="6"/>
    </row>
    <row r="64" spans="2:4" ht="18" customHeight="1" x14ac:dyDescent="0.25">
      <c r="B64" s="7" t="s">
        <v>119</v>
      </c>
    </row>
    <row r="65" spans="2:4" ht="18" customHeight="1" x14ac:dyDescent="0.25">
      <c r="B65" s="6" t="s">
        <v>120</v>
      </c>
      <c r="D65" s="58">
        <v>1E-4</v>
      </c>
    </row>
    <row r="66" spans="2:4" ht="18" customHeight="1" x14ac:dyDescent="0.25">
      <c r="B66" s="6" t="s">
        <v>208</v>
      </c>
    </row>
    <row r="67" spans="2:4" ht="18" customHeight="1" x14ac:dyDescent="0.25">
      <c r="B67" s="6" t="s">
        <v>202</v>
      </c>
      <c r="D67" s="58">
        <f>D65+D31</f>
        <v>6.6591251393588523E-4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779E-A30B-4D41-952C-599BA4CEAFA3}">
  <sheetPr codeName="גיליון3">
    <tabColor rgb="FF002060"/>
  </sheetPr>
  <dimension ref="B2:D67"/>
  <sheetViews>
    <sheetView showGridLines="0" rightToLeft="1" zoomScale="80" zoomScaleNormal="80" workbookViewId="0">
      <selection activeCell="B3" sqref="B3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277</v>
      </c>
      <c r="C2" s="2"/>
    </row>
    <row r="3" spans="2:4" ht="18" customHeight="1" x14ac:dyDescent="0.3">
      <c r="B3" s="8"/>
    </row>
    <row r="4" spans="2:4" ht="18" customHeight="1" x14ac:dyDescent="0.3">
      <c r="B4" s="9" t="s">
        <v>205</v>
      </c>
      <c r="C4" s="2"/>
      <c r="D4" s="11" t="s">
        <v>96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113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4.8247933929999993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0.28000000000000003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v>0</v>
      </c>
    </row>
    <row r="20" spans="2:4" ht="18" customHeight="1" x14ac:dyDescent="0.25">
      <c r="B20" s="6"/>
    </row>
    <row r="21" spans="2:4" ht="18" customHeight="1" x14ac:dyDescent="0.25">
      <c r="B21" s="6" t="s">
        <v>111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112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192</v>
      </c>
      <c r="D25" s="12">
        <f>SUM(D7:D23)</f>
        <v>5.1047933929999996</v>
      </c>
    </row>
    <row r="26" spans="2:4" ht="18" customHeight="1" x14ac:dyDescent="0.25">
      <c r="B26" s="6"/>
    </row>
    <row r="27" spans="2:4" ht="18" customHeight="1" x14ac:dyDescent="0.25">
      <c r="B27" s="6" t="s">
        <v>193</v>
      </c>
      <c r="D27" s="12">
        <v>23107.977630000001</v>
      </c>
    </row>
    <row r="28" spans="2:4" ht="18" customHeight="1" x14ac:dyDescent="0.25">
      <c r="C28" s="3" t="s">
        <v>206</v>
      </c>
      <c r="D28" s="12">
        <v>22515.602510000001</v>
      </c>
    </row>
    <row r="29" spans="2:4" ht="18" customHeight="1" x14ac:dyDescent="0.25">
      <c r="C29" s="3" t="s">
        <v>207</v>
      </c>
      <c r="D29" s="12">
        <v>23700.352749999998</v>
      </c>
    </row>
    <row r="30" spans="2:4" ht="18" customHeight="1" x14ac:dyDescent="0.25"/>
    <row r="31" spans="2:4" ht="18" customHeight="1" x14ac:dyDescent="0.25">
      <c r="B31" s="6" t="s">
        <v>194</v>
      </c>
      <c r="D31" s="58">
        <f>D25/D27</f>
        <v>2.2091043512058304E-4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116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195</v>
      </c>
      <c r="D37" s="12">
        <v>0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92</v>
      </c>
      <c r="D39" s="12">
        <v>0</v>
      </c>
    </row>
    <row r="40" spans="2:4" ht="18" customHeight="1" x14ac:dyDescent="0.25">
      <c r="C40" s="6" t="s">
        <v>93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0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v>0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196</v>
      </c>
      <c r="D52" s="12">
        <v>0</v>
      </c>
    </row>
    <row r="53" spans="2:4" ht="18" customHeight="1" x14ac:dyDescent="0.25">
      <c r="B53" s="6" t="s">
        <v>117</v>
      </c>
      <c r="D53" s="58">
        <v>0</v>
      </c>
    </row>
    <row r="54" spans="2:4" ht="18" customHeight="1" x14ac:dyDescent="0.25">
      <c r="B54" s="6" t="s">
        <v>197</v>
      </c>
      <c r="D54" s="58">
        <f>D53-D52</f>
        <v>0</v>
      </c>
    </row>
    <row r="55" spans="2:4" ht="18" customHeight="1" x14ac:dyDescent="0.25">
      <c r="B55" s="6"/>
    </row>
    <row r="56" spans="2:4" ht="18" customHeight="1" x14ac:dyDescent="0.25">
      <c r="B56" s="6" t="s">
        <v>198</v>
      </c>
      <c r="D56" s="12">
        <v>0</v>
      </c>
    </row>
    <row r="57" spans="2:4" ht="18" customHeight="1" x14ac:dyDescent="0.25">
      <c r="B57" s="6" t="s">
        <v>199</v>
      </c>
      <c r="D57" s="12">
        <v>0</v>
      </c>
    </row>
    <row r="58" spans="2:4" ht="18" customHeight="1" x14ac:dyDescent="0.25">
      <c r="B58" s="6"/>
    </row>
    <row r="59" spans="2:4" ht="18" customHeight="1" x14ac:dyDescent="0.25">
      <c r="B59" s="7" t="s">
        <v>118</v>
      </c>
    </row>
    <row r="60" spans="2:4" ht="18" customHeight="1" x14ac:dyDescent="0.25">
      <c r="B60" s="6" t="s">
        <v>200</v>
      </c>
      <c r="D60" s="12">
        <f>(D25+D37-D56)</f>
        <v>5.1047933929999996</v>
      </c>
    </row>
    <row r="61" spans="2:4" ht="18" customHeight="1" x14ac:dyDescent="0.25">
      <c r="B61" s="6"/>
    </row>
    <row r="62" spans="2:4" ht="18" customHeight="1" x14ac:dyDescent="0.25">
      <c r="B62" s="6" t="s">
        <v>201</v>
      </c>
      <c r="D62" s="58">
        <f>D60/D27</f>
        <v>2.2091043512058304E-4</v>
      </c>
    </row>
    <row r="63" spans="2:4" ht="18" customHeight="1" x14ac:dyDescent="0.25">
      <c r="B63" s="6"/>
    </row>
    <row r="64" spans="2:4" ht="18" customHeight="1" x14ac:dyDescent="0.25">
      <c r="B64" s="7" t="s">
        <v>119</v>
      </c>
    </row>
    <row r="65" spans="2:4" ht="18" customHeight="1" x14ac:dyDescent="0.25">
      <c r="B65" s="6" t="s">
        <v>120</v>
      </c>
      <c r="D65" s="58">
        <v>0</v>
      </c>
    </row>
    <row r="66" spans="2:4" ht="18" customHeight="1" x14ac:dyDescent="0.25">
      <c r="B66" s="6" t="s">
        <v>208</v>
      </c>
    </row>
    <row r="67" spans="2:4" ht="18" customHeight="1" x14ac:dyDescent="0.25">
      <c r="B67" s="6" t="s">
        <v>202</v>
      </c>
      <c r="D67" s="58">
        <f>D65+D31</f>
        <v>2.2091043512058304E-4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68F5-76A3-485D-B8E9-E15392D28F24}">
  <sheetPr codeName="גיליון4">
    <tabColor rgb="FF002060"/>
  </sheetPr>
  <dimension ref="B2:D67"/>
  <sheetViews>
    <sheetView showGridLines="0" rightToLeft="1" zoomScale="80" zoomScaleNormal="80" workbookViewId="0">
      <selection activeCell="B3" sqref="B3"/>
    </sheetView>
  </sheetViews>
  <sheetFormatPr defaultColWidth="9.125" defaultRowHeight="15" x14ac:dyDescent="0.25"/>
  <cols>
    <col min="1" max="1" width="2.75" style="3" customWidth="1"/>
    <col min="2" max="2" width="5.75" style="4" customWidth="1"/>
    <col min="3" max="3" width="130.75" style="3" customWidth="1"/>
    <col min="4" max="4" width="12.375" style="12" bestFit="1" customWidth="1"/>
    <col min="5" max="16384" width="9.125" style="3"/>
  </cols>
  <sheetData>
    <row r="2" spans="2:4" ht="18" customHeight="1" x14ac:dyDescent="0.3">
      <c r="B2" s="10" t="s">
        <v>276</v>
      </c>
      <c r="C2" s="2"/>
    </row>
    <row r="3" spans="2:4" ht="18" customHeight="1" x14ac:dyDescent="0.3">
      <c r="B3" s="8"/>
    </row>
    <row r="4" spans="2:4" ht="18" customHeight="1" x14ac:dyDescent="0.3">
      <c r="B4" s="9" t="s">
        <v>205</v>
      </c>
      <c r="C4" s="2"/>
      <c r="D4" s="11" t="s">
        <v>96</v>
      </c>
    </row>
    <row r="5" spans="2:4" ht="18" customHeight="1" x14ac:dyDescent="0.25">
      <c r="B5" s="5"/>
      <c r="C5" s="2"/>
      <c r="D5" s="13"/>
    </row>
    <row r="6" spans="2:4" ht="18" customHeight="1" x14ac:dyDescent="0.25">
      <c r="B6" s="1" t="s">
        <v>113</v>
      </c>
    </row>
    <row r="7" spans="2:4" ht="18" customHeight="1" x14ac:dyDescent="0.25">
      <c r="B7" s="6" t="s">
        <v>2</v>
      </c>
    </row>
    <row r="8" spans="2:4" ht="18" customHeight="1" x14ac:dyDescent="0.25">
      <c r="C8" s="3" t="s">
        <v>0</v>
      </c>
      <c r="D8" s="12">
        <v>0</v>
      </c>
    </row>
    <row r="9" spans="2:4" ht="18" customHeight="1" x14ac:dyDescent="0.25">
      <c r="C9" s="3" t="s">
        <v>1</v>
      </c>
      <c r="D9" s="12">
        <v>12.695742763000004</v>
      </c>
    </row>
    <row r="10" spans="2:4" ht="18" customHeight="1" x14ac:dyDescent="0.25"/>
    <row r="11" spans="2:4" ht="18" customHeight="1" x14ac:dyDescent="0.25">
      <c r="B11" s="6" t="s">
        <v>9</v>
      </c>
    </row>
    <row r="12" spans="2:4" ht="18" customHeight="1" x14ac:dyDescent="0.25">
      <c r="C12" s="4" t="s">
        <v>3</v>
      </c>
      <c r="D12" s="12">
        <v>0</v>
      </c>
    </row>
    <row r="13" spans="2:4" ht="18" customHeight="1" x14ac:dyDescent="0.25">
      <c r="C13" s="4" t="s">
        <v>4</v>
      </c>
      <c r="D13" s="12">
        <v>0.12</v>
      </c>
    </row>
    <row r="14" spans="2:4" ht="18" customHeight="1" x14ac:dyDescent="0.25">
      <c r="C14" s="4"/>
    </row>
    <row r="15" spans="2:4" ht="18" customHeight="1" x14ac:dyDescent="0.25">
      <c r="B15" s="6" t="s">
        <v>5</v>
      </c>
    </row>
    <row r="16" spans="2:4" ht="18" customHeight="1" x14ac:dyDescent="0.25">
      <c r="C16" s="4" t="s">
        <v>6</v>
      </c>
      <c r="D16" s="12">
        <v>0</v>
      </c>
    </row>
    <row r="17" spans="2:4" ht="18" customHeight="1" x14ac:dyDescent="0.25">
      <c r="C17" s="4" t="s">
        <v>7</v>
      </c>
      <c r="D17" s="12">
        <v>0</v>
      </c>
    </row>
    <row r="18" spans="2:4" ht="18" customHeight="1" x14ac:dyDescent="0.25"/>
    <row r="19" spans="2:4" ht="18" customHeight="1" x14ac:dyDescent="0.25">
      <c r="B19" s="6" t="s">
        <v>8</v>
      </c>
      <c r="D19" s="12">
        <v>2.363</v>
      </c>
    </row>
    <row r="20" spans="2:4" ht="18" customHeight="1" x14ac:dyDescent="0.25">
      <c r="B20" s="6"/>
    </row>
    <row r="21" spans="2:4" ht="18" customHeight="1" x14ac:dyDescent="0.25">
      <c r="B21" s="6" t="s">
        <v>111</v>
      </c>
      <c r="D21" s="12">
        <v>0</v>
      </c>
    </row>
    <row r="22" spans="2:4" ht="18" customHeight="1" x14ac:dyDescent="0.25">
      <c r="B22" s="6"/>
    </row>
    <row r="23" spans="2:4" ht="18" customHeight="1" x14ac:dyDescent="0.25">
      <c r="B23" s="6" t="s">
        <v>112</v>
      </c>
      <c r="D23" s="12">
        <v>0</v>
      </c>
    </row>
    <row r="24" spans="2:4" ht="18" customHeight="1" x14ac:dyDescent="0.25">
      <c r="B24" s="6"/>
    </row>
    <row r="25" spans="2:4" ht="18" customHeight="1" x14ac:dyDescent="0.25">
      <c r="B25" s="6" t="s">
        <v>192</v>
      </c>
      <c r="D25" s="12">
        <f>SUM(D7:D23)</f>
        <v>15.178742763000002</v>
      </c>
    </row>
    <row r="26" spans="2:4" ht="18" customHeight="1" x14ac:dyDescent="0.25">
      <c r="B26" s="6"/>
    </row>
    <row r="27" spans="2:4" ht="18" customHeight="1" x14ac:dyDescent="0.25">
      <c r="B27" s="6" t="s">
        <v>193</v>
      </c>
      <c r="D27" s="12">
        <v>9606.340725</v>
      </c>
    </row>
    <row r="28" spans="2:4" ht="18" customHeight="1" x14ac:dyDescent="0.25">
      <c r="C28" s="3" t="s">
        <v>206</v>
      </c>
      <c r="D28" s="12">
        <v>10509.08784</v>
      </c>
    </row>
    <row r="29" spans="2:4" ht="18" customHeight="1" x14ac:dyDescent="0.25">
      <c r="C29" s="3" t="s">
        <v>207</v>
      </c>
      <c r="D29" s="12">
        <v>8703.5936099999999</v>
      </c>
    </row>
    <row r="30" spans="2:4" ht="18" customHeight="1" x14ac:dyDescent="0.25"/>
    <row r="31" spans="2:4" ht="18" customHeight="1" x14ac:dyDescent="0.25">
      <c r="B31" s="6" t="s">
        <v>194</v>
      </c>
      <c r="D31" s="58">
        <f>D25/D27</f>
        <v>1.5800754103483044E-3</v>
      </c>
    </row>
    <row r="32" spans="2:4" ht="18" customHeight="1" x14ac:dyDescent="0.25">
      <c r="B32" s="6"/>
    </row>
    <row r="33" spans="2:4" ht="18" customHeight="1" x14ac:dyDescent="0.25">
      <c r="B33" s="5" t="s">
        <v>10</v>
      </c>
    </row>
    <row r="34" spans="2:4" ht="18" customHeight="1" x14ac:dyDescent="0.25">
      <c r="B34" s="6" t="s">
        <v>116</v>
      </c>
      <c r="D34" s="12">
        <v>0</v>
      </c>
    </row>
    <row r="35" spans="2:4" ht="18" customHeight="1" x14ac:dyDescent="0.25">
      <c r="B35" s="6"/>
    </row>
    <row r="36" spans="2:4" ht="18" customHeight="1" x14ac:dyDescent="0.25">
      <c r="B36" s="7" t="s">
        <v>10</v>
      </c>
    </row>
    <row r="37" spans="2:4" ht="18" customHeight="1" x14ac:dyDescent="0.25">
      <c r="B37" s="6" t="s">
        <v>195</v>
      </c>
      <c r="D37" s="12">
        <v>0.48700597400000045</v>
      </c>
    </row>
    <row r="38" spans="2:4" ht="18" customHeight="1" x14ac:dyDescent="0.25">
      <c r="C38" s="6" t="s">
        <v>11</v>
      </c>
      <c r="D38" s="12">
        <v>0</v>
      </c>
    </row>
    <row r="39" spans="2:4" ht="18" customHeight="1" x14ac:dyDescent="0.25">
      <c r="C39" s="6" t="s">
        <v>92</v>
      </c>
      <c r="D39" s="12">
        <v>0</v>
      </c>
    </row>
    <row r="40" spans="2:4" ht="18" customHeight="1" x14ac:dyDescent="0.25">
      <c r="C40" s="6" t="s">
        <v>93</v>
      </c>
      <c r="D40" s="12">
        <v>0</v>
      </c>
    </row>
    <row r="41" spans="2:4" ht="18" customHeight="1" x14ac:dyDescent="0.25">
      <c r="C41" s="6" t="s">
        <v>12</v>
      </c>
      <c r="D41" s="12">
        <v>0</v>
      </c>
    </row>
    <row r="42" spans="2:4" ht="18" customHeight="1" x14ac:dyDescent="0.25">
      <c r="C42" s="6" t="s">
        <v>13</v>
      </c>
      <c r="D42" s="12">
        <v>3.9530653000000048E-2</v>
      </c>
    </row>
    <row r="43" spans="2:4" ht="18" customHeight="1" x14ac:dyDescent="0.25">
      <c r="C43" s="6" t="s">
        <v>14</v>
      </c>
    </row>
    <row r="44" spans="2:4" ht="18" customHeight="1" x14ac:dyDescent="0.25">
      <c r="C44" s="6" t="s">
        <v>15</v>
      </c>
      <c r="D44" s="12">
        <f>0.447475321</f>
        <v>0.44747532099999998</v>
      </c>
    </row>
    <row r="45" spans="2:4" ht="18" customHeight="1" x14ac:dyDescent="0.25">
      <c r="C45" s="6" t="s">
        <v>16</v>
      </c>
    </row>
    <row r="46" spans="2:4" ht="18" customHeight="1" x14ac:dyDescent="0.25">
      <c r="C46" s="3" t="s">
        <v>17</v>
      </c>
      <c r="D46" s="12">
        <v>0</v>
      </c>
    </row>
    <row r="47" spans="2:4" ht="18" customHeight="1" x14ac:dyDescent="0.25">
      <c r="C47" s="3" t="s">
        <v>18</v>
      </c>
    </row>
    <row r="48" spans="2:4" ht="18" customHeight="1" x14ac:dyDescent="0.25">
      <c r="C48" s="3" t="s">
        <v>19</v>
      </c>
      <c r="D48" s="12">
        <v>0</v>
      </c>
    </row>
    <row r="49" spans="2:4" ht="18" customHeight="1" x14ac:dyDescent="0.25">
      <c r="C49" s="3" t="s">
        <v>18</v>
      </c>
    </row>
    <row r="50" spans="2:4" ht="18" customHeight="1" x14ac:dyDescent="0.25">
      <c r="C50" s="3" t="s">
        <v>20</v>
      </c>
      <c r="D50" s="12">
        <v>0</v>
      </c>
    </row>
    <row r="51" spans="2:4" ht="18" customHeight="1" x14ac:dyDescent="0.25"/>
    <row r="52" spans="2:4" ht="18" customHeight="1" x14ac:dyDescent="0.25">
      <c r="B52" s="6" t="s">
        <v>196</v>
      </c>
      <c r="D52" s="58">
        <v>5.5954585636955129E-5</v>
      </c>
    </row>
    <row r="53" spans="2:4" ht="18" customHeight="1" x14ac:dyDescent="0.25">
      <c r="B53" s="6" t="s">
        <v>117</v>
      </c>
      <c r="D53" s="58">
        <v>1E-4</v>
      </c>
    </row>
    <row r="54" spans="2:4" ht="18" customHeight="1" x14ac:dyDescent="0.25">
      <c r="B54" s="6" t="s">
        <v>197</v>
      </c>
      <c r="D54" s="58">
        <f>D53-D52</f>
        <v>4.4045414363044876E-5</v>
      </c>
    </row>
    <row r="55" spans="2:4" ht="18" customHeight="1" x14ac:dyDescent="0.25">
      <c r="B55" s="6"/>
    </row>
    <row r="56" spans="2:4" ht="18" customHeight="1" x14ac:dyDescent="0.25">
      <c r="B56" s="6" t="s">
        <v>198</v>
      </c>
    </row>
    <row r="57" spans="2:4" ht="18" customHeight="1" x14ac:dyDescent="0.25">
      <c r="B57" s="6" t="s">
        <v>199</v>
      </c>
      <c r="D57" s="58">
        <f>(D37-D56)/D29</f>
        <v>5.5954585636955129E-5</v>
      </c>
    </row>
    <row r="58" spans="2:4" ht="18" customHeight="1" x14ac:dyDescent="0.25">
      <c r="B58" s="6"/>
    </row>
    <row r="59" spans="2:4" ht="18" customHeight="1" x14ac:dyDescent="0.25">
      <c r="B59" s="7" t="s">
        <v>118</v>
      </c>
    </row>
    <row r="60" spans="2:4" ht="18" customHeight="1" x14ac:dyDescent="0.25">
      <c r="B60" s="6" t="s">
        <v>200</v>
      </c>
      <c r="D60" s="12">
        <f>(D25+D37-D56)</f>
        <v>15.665748737000003</v>
      </c>
    </row>
    <row r="61" spans="2:4" ht="18" customHeight="1" x14ac:dyDescent="0.25">
      <c r="B61" s="6"/>
    </row>
    <row r="62" spans="2:4" ht="18" customHeight="1" x14ac:dyDescent="0.25">
      <c r="B62" s="6" t="s">
        <v>201</v>
      </c>
      <c r="D62" s="58">
        <f>D60/D27</f>
        <v>1.6307717147936165E-3</v>
      </c>
    </row>
    <row r="63" spans="2:4" ht="18" customHeight="1" x14ac:dyDescent="0.25">
      <c r="B63" s="6"/>
    </row>
    <row r="64" spans="2:4" ht="18" customHeight="1" x14ac:dyDescent="0.25">
      <c r="B64" s="7" t="s">
        <v>119</v>
      </c>
    </row>
    <row r="65" spans="2:4" ht="18" customHeight="1" x14ac:dyDescent="0.25">
      <c r="B65" s="6" t="s">
        <v>120</v>
      </c>
      <c r="D65" s="58">
        <v>1E-4</v>
      </c>
    </row>
    <row r="66" spans="2:4" ht="18" customHeight="1" x14ac:dyDescent="0.25">
      <c r="B66" s="6" t="s">
        <v>208</v>
      </c>
    </row>
    <row r="67" spans="2:4" ht="18" customHeight="1" x14ac:dyDescent="0.25">
      <c r="B67" s="6" t="s">
        <v>202</v>
      </c>
      <c r="D67" s="58">
        <f>D65+D31</f>
        <v>1.6800754103483044E-3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8C82-913A-4789-B2AF-C71BE22DFECE}">
  <sheetPr codeName="Sheet4">
    <tabColor rgb="FF002060"/>
  </sheetPr>
  <dimension ref="B1:F47"/>
  <sheetViews>
    <sheetView showGridLines="0" rightToLeft="1" workbookViewId="0">
      <selection activeCell="B5" sqref="B5"/>
    </sheetView>
  </sheetViews>
  <sheetFormatPr defaultColWidth="9" defaultRowHeight="15" x14ac:dyDescent="0.25"/>
  <cols>
    <col min="1" max="1" width="2.75" style="44" customWidth="1"/>
    <col min="2" max="2" width="5.625" style="53" customWidth="1"/>
    <col min="3" max="3" width="65" style="42" bestFit="1" customWidth="1"/>
    <col min="4" max="4" width="12.875" style="43" bestFit="1" customWidth="1"/>
    <col min="5" max="16384" width="9" style="44"/>
  </cols>
  <sheetData>
    <row r="1" spans="2:4" x14ac:dyDescent="0.25">
      <c r="B1" s="42"/>
    </row>
    <row r="2" spans="2:4" ht="18.75" x14ac:dyDescent="0.3">
      <c r="B2" s="54" t="s">
        <v>209</v>
      </c>
    </row>
    <row r="3" spans="2:4" x14ac:dyDescent="0.25">
      <c r="B3" s="42"/>
      <c r="C3" s="45"/>
      <c r="D3" s="46"/>
    </row>
    <row r="4" spans="2:4" ht="18.75" x14ac:dyDescent="0.3">
      <c r="B4" s="47" t="s">
        <v>204</v>
      </c>
      <c r="C4" s="45"/>
      <c r="D4" s="46"/>
    </row>
    <row r="5" spans="2:4" ht="15.75" x14ac:dyDescent="0.25">
      <c r="B5" s="48"/>
      <c r="C5" s="45"/>
      <c r="D5" s="46"/>
    </row>
    <row r="6" spans="2:4" ht="15.75" x14ac:dyDescent="0.25">
      <c r="B6" s="49"/>
      <c r="C6" s="41" t="s">
        <v>23</v>
      </c>
      <c r="D6" s="50"/>
    </row>
    <row r="7" spans="2:4" ht="15.75" x14ac:dyDescent="0.25">
      <c r="B7" s="49"/>
      <c r="C7" s="31" t="s">
        <v>22</v>
      </c>
      <c r="D7" s="56" t="s">
        <v>96</v>
      </c>
    </row>
    <row r="8" spans="2:4" x14ac:dyDescent="0.25">
      <c r="B8" s="51" t="s">
        <v>98</v>
      </c>
      <c r="C8" s="51" t="s">
        <v>88</v>
      </c>
      <c r="D8" s="52">
        <v>49.139107679999995</v>
      </c>
    </row>
    <row r="9" spans="2:4" ht="15.75" x14ac:dyDescent="0.25">
      <c r="B9" s="51"/>
      <c r="C9" s="31" t="s">
        <v>24</v>
      </c>
      <c r="D9" s="52"/>
    </row>
    <row r="10" spans="2:4" x14ac:dyDescent="0.25">
      <c r="B10" s="51" t="s">
        <v>98</v>
      </c>
      <c r="C10" s="51" t="s">
        <v>66</v>
      </c>
      <c r="D10" s="52">
        <f>325.828990362+4.78+19.77+9.41+2.94</f>
        <v>362.72899036199999</v>
      </c>
    </row>
    <row r="11" spans="2:4" x14ac:dyDescent="0.25">
      <c r="B11" s="51" t="s">
        <v>99</v>
      </c>
      <c r="C11" s="51" t="s">
        <v>67</v>
      </c>
      <c r="D11" s="52">
        <v>12.316192439999998</v>
      </c>
    </row>
    <row r="12" spans="2:4" x14ac:dyDescent="0.25">
      <c r="B12" s="51" t="s">
        <v>100</v>
      </c>
      <c r="C12" s="51" t="s">
        <v>65</v>
      </c>
      <c r="D12" s="52">
        <v>7.2861906699999999</v>
      </c>
    </row>
    <row r="13" spans="2:4" x14ac:dyDescent="0.25">
      <c r="B13" s="51" t="s">
        <v>101</v>
      </c>
      <c r="C13" s="51" t="s">
        <v>69</v>
      </c>
      <c r="D13" s="52">
        <v>5.6896199999999997</v>
      </c>
    </row>
    <row r="14" spans="2:4" x14ac:dyDescent="0.25">
      <c r="B14" s="51" t="s">
        <v>241</v>
      </c>
      <c r="C14" s="51" t="s">
        <v>89</v>
      </c>
      <c r="D14" s="52">
        <v>5.1281300000000014</v>
      </c>
    </row>
    <row r="15" spans="2:4" x14ac:dyDescent="0.25">
      <c r="B15" s="51" t="s">
        <v>242</v>
      </c>
      <c r="C15" s="51" t="s">
        <v>90</v>
      </c>
      <c r="D15" s="52">
        <f>6.862+0.03</f>
        <v>6.8920000000000003</v>
      </c>
    </row>
    <row r="16" spans="2:4" x14ac:dyDescent="0.25">
      <c r="B16" s="51" t="s">
        <v>243</v>
      </c>
      <c r="C16" s="51" t="s">
        <v>71</v>
      </c>
      <c r="D16" s="52">
        <f>10.687253228+0.05+11.47+9.28+9.73</f>
        <v>41.217253228000004</v>
      </c>
    </row>
    <row r="17" spans="2:6" x14ac:dyDescent="0.25">
      <c r="B17" s="51" t="s">
        <v>244</v>
      </c>
      <c r="C17" s="51" t="s">
        <v>70</v>
      </c>
      <c r="D17" s="52">
        <v>5.4219404920000009</v>
      </c>
    </row>
    <row r="18" spans="2:6" x14ac:dyDescent="0.25">
      <c r="B18" s="51" t="s">
        <v>245</v>
      </c>
      <c r="C18" s="51" t="s">
        <v>68</v>
      </c>
      <c r="D18" s="52">
        <v>2.0405600000000002</v>
      </c>
    </row>
    <row r="19" spans="2:6" x14ac:dyDescent="0.25">
      <c r="B19" s="51" t="s">
        <v>246</v>
      </c>
      <c r="C19" s="51" t="s">
        <v>203</v>
      </c>
      <c r="D19" s="52">
        <v>3.8772120000000001E-3</v>
      </c>
    </row>
    <row r="20" spans="2:6" x14ac:dyDescent="0.25">
      <c r="B20" s="51" t="s">
        <v>247</v>
      </c>
      <c r="C20" s="51" t="s">
        <v>87</v>
      </c>
      <c r="D20" s="52">
        <v>0.13942500000000002</v>
      </c>
    </row>
    <row r="21" spans="2:6" ht="15.75" x14ac:dyDescent="0.25">
      <c r="C21" s="28" t="s">
        <v>56</v>
      </c>
      <c r="D21" s="30">
        <f>SUM(D10:D20)</f>
        <v>448.86417940400003</v>
      </c>
      <c r="F21" s="57"/>
    </row>
    <row r="22" spans="2:6" ht="15.75" x14ac:dyDescent="0.25">
      <c r="C22" s="31"/>
      <c r="D22" s="30"/>
    </row>
    <row r="23" spans="2:6" ht="15.75" x14ac:dyDescent="0.25">
      <c r="B23" s="51"/>
      <c r="C23" s="41" t="s">
        <v>25</v>
      </c>
      <c r="D23" s="52"/>
    </row>
    <row r="24" spans="2:6" ht="15.75" x14ac:dyDescent="0.25">
      <c r="B24" s="51"/>
      <c r="C24" s="31" t="s">
        <v>22</v>
      </c>
      <c r="D24" s="30"/>
    </row>
    <row r="25" spans="2:6" ht="15.75" x14ac:dyDescent="0.25">
      <c r="B25" s="51"/>
      <c r="C25" s="31" t="s">
        <v>24</v>
      </c>
      <c r="D25" s="52"/>
    </row>
    <row r="26" spans="2:6" x14ac:dyDescent="0.25">
      <c r="B26" s="51" t="s">
        <v>98</v>
      </c>
      <c r="C26" s="51" t="s">
        <v>66</v>
      </c>
      <c r="D26" s="52">
        <v>41.5</v>
      </c>
    </row>
    <row r="27" spans="2:6" ht="15.75" x14ac:dyDescent="0.25">
      <c r="C27" s="28" t="s">
        <v>57</v>
      </c>
      <c r="D27" s="30">
        <f>SUM(D26)</f>
        <v>41.5</v>
      </c>
    </row>
    <row r="28" spans="2:6" ht="15.75" x14ac:dyDescent="0.25">
      <c r="C28" s="28"/>
      <c r="D28" s="30"/>
    </row>
    <row r="29" spans="2:6" ht="15.75" x14ac:dyDescent="0.25">
      <c r="C29" s="31" t="s">
        <v>26</v>
      </c>
      <c r="D29" s="30"/>
    </row>
    <row r="30" spans="2:6" ht="15.75" x14ac:dyDescent="0.25">
      <c r="C30" s="28" t="s">
        <v>58</v>
      </c>
      <c r="D30" s="30">
        <v>0</v>
      </c>
    </row>
    <row r="31" spans="2:6" ht="15.75" x14ac:dyDescent="0.25">
      <c r="C31" s="28"/>
      <c r="D31" s="30"/>
    </row>
    <row r="32" spans="2:6" ht="15.75" x14ac:dyDescent="0.25">
      <c r="C32" s="31" t="s">
        <v>27</v>
      </c>
      <c r="D32" s="30"/>
    </row>
    <row r="33" spans="3:4" ht="15.75" x14ac:dyDescent="0.25">
      <c r="C33" s="28" t="s">
        <v>59</v>
      </c>
      <c r="D33" s="30">
        <v>0</v>
      </c>
    </row>
    <row r="34" spans="3:4" ht="15.75" x14ac:dyDescent="0.25">
      <c r="C34" s="28"/>
      <c r="D34" s="30"/>
    </row>
    <row r="35" spans="3:4" ht="15.75" x14ac:dyDescent="0.25">
      <c r="C35" s="31" t="s">
        <v>28</v>
      </c>
      <c r="D35" s="30">
        <f>מאוחד!D19</f>
        <v>826.346</v>
      </c>
    </row>
    <row r="36" spans="3:4" ht="15.75" x14ac:dyDescent="0.25">
      <c r="C36" s="31"/>
      <c r="D36" s="30"/>
    </row>
    <row r="37" spans="3:4" ht="15.75" x14ac:dyDescent="0.25">
      <c r="C37" s="31" t="s">
        <v>29</v>
      </c>
      <c r="D37" s="30"/>
    </row>
    <row r="38" spans="3:4" ht="15.75" x14ac:dyDescent="0.25">
      <c r="C38" s="28" t="s">
        <v>60</v>
      </c>
      <c r="D38" s="30">
        <v>0</v>
      </c>
    </row>
    <row r="39" spans="3:4" ht="15.75" x14ac:dyDescent="0.25">
      <c r="C39" s="41"/>
      <c r="D39" s="32"/>
    </row>
    <row r="40" spans="3:4" ht="15.75" x14ac:dyDescent="0.25">
      <c r="C40" s="31" t="s">
        <v>30</v>
      </c>
      <c r="D40" s="30"/>
    </row>
    <row r="41" spans="3:4" ht="15.75" x14ac:dyDescent="0.25">
      <c r="C41" s="55" t="s">
        <v>61</v>
      </c>
      <c r="D41" s="30">
        <v>0</v>
      </c>
    </row>
    <row r="42" spans="3:4" ht="15.75" x14ac:dyDescent="0.25">
      <c r="C42" s="31"/>
    </row>
    <row r="43" spans="3:4" ht="15.75" x14ac:dyDescent="0.25">
      <c r="C43" s="31" t="s">
        <v>31</v>
      </c>
      <c r="D43" s="30"/>
    </row>
    <row r="44" spans="3:4" ht="15.75" x14ac:dyDescent="0.25">
      <c r="C44" s="55" t="s">
        <v>62</v>
      </c>
      <c r="D44" s="30">
        <v>0</v>
      </c>
    </row>
    <row r="45" spans="3:4" ht="15.75" x14ac:dyDescent="0.25">
      <c r="C45" s="41"/>
      <c r="D45" s="32"/>
    </row>
    <row r="47" spans="3:4" ht="15.75" x14ac:dyDescent="0.25">
      <c r="C47" s="41" t="s">
        <v>64</v>
      </c>
      <c r="D47" s="32">
        <v>1185.5778070839999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434F-9177-4AB0-AFD0-973C826BEC32}">
  <sheetPr codeName="Sheet5">
    <tabColor rgb="FF002060"/>
  </sheetPr>
  <dimension ref="A1:C134"/>
  <sheetViews>
    <sheetView showGridLines="0" rightToLeft="1" zoomScaleNormal="100" workbookViewId="0">
      <selection activeCell="B5" sqref="B5"/>
    </sheetView>
  </sheetViews>
  <sheetFormatPr defaultColWidth="9" defaultRowHeight="15.75" x14ac:dyDescent="0.25"/>
  <cols>
    <col min="1" max="1" width="4.75" style="38" customWidth="1"/>
    <col min="2" max="2" width="72.875" style="39" bestFit="1" customWidth="1"/>
    <col min="3" max="3" width="16.625" style="65" bestFit="1" customWidth="1"/>
    <col min="4" max="16384" width="9" style="39"/>
  </cols>
  <sheetData>
    <row r="1" spans="1:3" s="35" customFormat="1" ht="18.75" x14ac:dyDescent="0.3">
      <c r="A1" s="34"/>
      <c r="C1" s="60"/>
    </row>
    <row r="2" spans="1:3" s="35" customFormat="1" ht="18.75" x14ac:dyDescent="0.3">
      <c r="A2" s="34"/>
      <c r="B2" s="37" t="s">
        <v>210</v>
      </c>
      <c r="C2" s="60"/>
    </row>
    <row r="3" spans="1:3" s="35" customFormat="1" ht="18.75" x14ac:dyDescent="0.3">
      <c r="A3" s="34"/>
      <c r="B3" s="36"/>
      <c r="C3" s="60"/>
    </row>
    <row r="4" spans="1:3" s="35" customFormat="1" ht="18.75" x14ac:dyDescent="0.3">
      <c r="A4" s="34"/>
      <c r="B4" s="37" t="s">
        <v>204</v>
      </c>
      <c r="C4" s="60"/>
    </row>
    <row r="6" spans="1:3" x14ac:dyDescent="0.25">
      <c r="B6" s="31" t="s">
        <v>33</v>
      </c>
      <c r="C6" s="61" t="s">
        <v>96</v>
      </c>
    </row>
    <row r="7" spans="1:3" x14ac:dyDescent="0.25">
      <c r="B7" s="40" t="s">
        <v>248</v>
      </c>
      <c r="C7" s="62">
        <v>171.63749000000001</v>
      </c>
    </row>
    <row r="8" spans="1:3" x14ac:dyDescent="0.25">
      <c r="B8" s="40" t="s">
        <v>249</v>
      </c>
      <c r="C8" s="62">
        <v>51.992939999999997</v>
      </c>
    </row>
    <row r="9" spans="1:3" x14ac:dyDescent="0.25">
      <c r="B9" s="40" t="s">
        <v>250</v>
      </c>
      <c r="C9" s="62">
        <v>1.788</v>
      </c>
    </row>
    <row r="10" spans="1:3" x14ac:dyDescent="0.25">
      <c r="B10" s="40" t="s">
        <v>251</v>
      </c>
      <c r="C10" s="62">
        <v>51.832602739726028</v>
      </c>
    </row>
    <row r="11" spans="1:3" x14ac:dyDescent="0.25">
      <c r="B11" s="40" t="s">
        <v>252</v>
      </c>
      <c r="C11" s="62">
        <v>121.51242599999999</v>
      </c>
    </row>
    <row r="12" spans="1:3" x14ac:dyDescent="0.25">
      <c r="B12" s="40" t="s">
        <v>253</v>
      </c>
      <c r="C12" s="62">
        <v>180.07257000000001</v>
      </c>
    </row>
    <row r="13" spans="1:3" x14ac:dyDescent="0.25">
      <c r="B13" s="40" t="s">
        <v>220</v>
      </c>
      <c r="C13" s="62">
        <v>86.528390000000002</v>
      </c>
    </row>
    <row r="14" spans="1:3" x14ac:dyDescent="0.25">
      <c r="B14" s="40" t="s">
        <v>272</v>
      </c>
      <c r="C14" s="62">
        <v>18.428000000000001</v>
      </c>
    </row>
    <row r="15" spans="1:3" x14ac:dyDescent="0.25">
      <c r="B15" s="40" t="s">
        <v>254</v>
      </c>
      <c r="C15" s="62">
        <v>40.215788671775009</v>
      </c>
    </row>
    <row r="16" spans="1:3" x14ac:dyDescent="0.25">
      <c r="B16" s="40" t="s">
        <v>255</v>
      </c>
      <c r="C16" s="62">
        <v>67.889399999999995</v>
      </c>
    </row>
    <row r="17" spans="2:3" x14ac:dyDescent="0.25">
      <c r="B17" s="40" t="s">
        <v>234</v>
      </c>
      <c r="C17" s="62">
        <v>92.040999999999997</v>
      </c>
    </row>
    <row r="18" spans="2:3" x14ac:dyDescent="0.25">
      <c r="B18" s="40" t="s">
        <v>256</v>
      </c>
      <c r="C18" s="62">
        <v>50.608000000000004</v>
      </c>
    </row>
    <row r="19" spans="2:3" x14ac:dyDescent="0.25">
      <c r="B19" s="40" t="s">
        <v>257</v>
      </c>
      <c r="C19" s="62">
        <v>26.317</v>
      </c>
    </row>
    <row r="20" spans="2:3" x14ac:dyDescent="0.25">
      <c r="B20" s="40" t="s">
        <v>235</v>
      </c>
      <c r="C20" s="62">
        <v>63.634002000000002</v>
      </c>
    </row>
    <row r="21" spans="2:3" x14ac:dyDescent="0.25">
      <c r="B21" s="40" t="s">
        <v>225</v>
      </c>
      <c r="C21" s="62">
        <v>14.916294000000001</v>
      </c>
    </row>
    <row r="22" spans="2:3" x14ac:dyDescent="0.25">
      <c r="B22" s="40" t="s">
        <v>258</v>
      </c>
      <c r="C22" s="62">
        <v>77.757000000000005</v>
      </c>
    </row>
    <row r="23" spans="2:3" x14ac:dyDescent="0.25">
      <c r="B23" s="40" t="s">
        <v>259</v>
      </c>
      <c r="C23" s="62">
        <v>152.56200000000001</v>
      </c>
    </row>
    <row r="24" spans="2:3" x14ac:dyDescent="0.25">
      <c r="B24" s="40" t="s">
        <v>236</v>
      </c>
      <c r="C24" s="62">
        <v>171.30099999999999</v>
      </c>
    </row>
    <row r="25" spans="2:3" x14ac:dyDescent="0.25">
      <c r="B25" s="40" t="s">
        <v>237</v>
      </c>
      <c r="C25" s="62">
        <v>58.602999999999994</v>
      </c>
    </row>
    <row r="26" spans="2:3" x14ac:dyDescent="0.25">
      <c r="B26" s="40" t="s">
        <v>227</v>
      </c>
      <c r="C26" s="62">
        <v>4.4580000000000002</v>
      </c>
    </row>
    <row r="27" spans="2:3" x14ac:dyDescent="0.25">
      <c r="B27" s="40" t="s">
        <v>228</v>
      </c>
      <c r="C27" s="62">
        <v>65.918999999999997</v>
      </c>
    </row>
    <row r="28" spans="2:3" x14ac:dyDescent="0.25">
      <c r="B28" s="40" t="s">
        <v>214</v>
      </c>
      <c r="C28" s="62">
        <v>1.788016</v>
      </c>
    </row>
    <row r="29" spans="2:3" x14ac:dyDescent="0.25">
      <c r="B29" s="29" t="s">
        <v>47</v>
      </c>
      <c r="C29" s="63">
        <f>SUM(C7:C28)</f>
        <v>1571.8019194115016</v>
      </c>
    </row>
    <row r="30" spans="2:3" x14ac:dyDescent="0.25">
      <c r="B30" s="31"/>
      <c r="C30" s="62"/>
    </row>
    <row r="31" spans="2:3" x14ac:dyDescent="0.25">
      <c r="B31" s="31" t="s">
        <v>94</v>
      </c>
      <c r="C31" s="62"/>
    </row>
    <row r="32" spans="2:3" x14ac:dyDescent="0.25">
      <c r="B32" s="40" t="s">
        <v>216</v>
      </c>
      <c r="C32" s="62">
        <v>53.40352</v>
      </c>
    </row>
    <row r="33" spans="2:3" x14ac:dyDescent="0.25">
      <c r="B33" s="40" t="s">
        <v>217</v>
      </c>
      <c r="C33" s="62">
        <v>75.576880000000003</v>
      </c>
    </row>
    <row r="34" spans="2:3" x14ac:dyDescent="0.25">
      <c r="B34" s="40" t="s">
        <v>218</v>
      </c>
      <c r="C34" s="62">
        <v>79.650465999999994</v>
      </c>
    </row>
    <row r="35" spans="2:3" x14ac:dyDescent="0.25">
      <c r="B35" s="40" t="s">
        <v>260</v>
      </c>
      <c r="C35" s="62">
        <v>1.2141792</v>
      </c>
    </row>
    <row r="36" spans="2:3" x14ac:dyDescent="0.25">
      <c r="B36" s="40" t="s">
        <v>231</v>
      </c>
      <c r="C36" s="62">
        <v>32.557903000000003</v>
      </c>
    </row>
    <row r="37" spans="2:3" x14ac:dyDescent="0.25">
      <c r="B37" s="40" t="s">
        <v>219</v>
      </c>
      <c r="C37" s="62">
        <v>221.25529817999998</v>
      </c>
    </row>
    <row r="38" spans="2:3" x14ac:dyDescent="0.25">
      <c r="B38" s="40" t="s">
        <v>238</v>
      </c>
      <c r="C38" s="62">
        <v>30.309659800000002</v>
      </c>
    </row>
    <row r="39" spans="2:3" x14ac:dyDescent="0.25">
      <c r="B39" s="40" t="s">
        <v>212</v>
      </c>
      <c r="C39" s="62">
        <v>27.09602211</v>
      </c>
    </row>
    <row r="40" spans="2:3" x14ac:dyDescent="0.25">
      <c r="B40" s="40" t="s">
        <v>261</v>
      </c>
      <c r="C40" s="62">
        <v>4.4139999999999997</v>
      </c>
    </row>
    <row r="41" spans="2:3" x14ac:dyDescent="0.25">
      <c r="B41" s="40" t="s">
        <v>262</v>
      </c>
      <c r="C41" s="62">
        <v>97.83264100000001</v>
      </c>
    </row>
    <row r="42" spans="2:3" x14ac:dyDescent="0.25">
      <c r="B42" s="40" t="s">
        <v>263</v>
      </c>
      <c r="C42" s="62">
        <v>8.9851860000000006</v>
      </c>
    </row>
    <row r="43" spans="2:3" x14ac:dyDescent="0.25">
      <c r="B43" s="40" t="s">
        <v>239</v>
      </c>
      <c r="C43" s="62">
        <v>41.538792000000001</v>
      </c>
    </row>
    <row r="44" spans="2:3" x14ac:dyDescent="0.25">
      <c r="B44" s="40" t="s">
        <v>264</v>
      </c>
      <c r="C44" s="62">
        <v>86.930567999999994</v>
      </c>
    </row>
    <row r="45" spans="2:3" x14ac:dyDescent="0.25">
      <c r="B45" s="40" t="s">
        <v>229</v>
      </c>
      <c r="C45" s="62">
        <v>65.2597114</v>
      </c>
    </row>
    <row r="46" spans="2:3" x14ac:dyDescent="0.25">
      <c r="B46" s="40" t="s">
        <v>221</v>
      </c>
      <c r="C46" s="62">
        <v>67.121086000000005</v>
      </c>
    </row>
    <row r="47" spans="2:3" x14ac:dyDescent="0.25">
      <c r="B47" s="40" t="s">
        <v>265</v>
      </c>
      <c r="C47" s="62">
        <v>22.131</v>
      </c>
    </row>
    <row r="48" spans="2:3" x14ac:dyDescent="0.25">
      <c r="B48" s="40" t="s">
        <v>222</v>
      </c>
      <c r="C48" s="62">
        <v>119.529022</v>
      </c>
    </row>
    <row r="49" spans="2:3" x14ac:dyDescent="0.25">
      <c r="B49" s="40" t="s">
        <v>232</v>
      </c>
      <c r="C49" s="62">
        <v>45.564529800000003</v>
      </c>
    </row>
    <row r="50" spans="2:3" x14ac:dyDescent="0.25">
      <c r="B50" s="40" t="s">
        <v>233</v>
      </c>
      <c r="C50" s="62">
        <v>51.926304000000002</v>
      </c>
    </row>
    <row r="51" spans="2:3" x14ac:dyDescent="0.25">
      <c r="B51" s="40" t="s">
        <v>230</v>
      </c>
      <c r="C51" s="62">
        <v>91.246962719999999</v>
      </c>
    </row>
    <row r="52" spans="2:3" x14ac:dyDescent="0.25">
      <c r="B52" s="40" t="s">
        <v>215</v>
      </c>
      <c r="C52" s="62">
        <v>43.290536000000003</v>
      </c>
    </row>
    <row r="53" spans="2:3" x14ac:dyDescent="0.25">
      <c r="B53" s="40" t="s">
        <v>240</v>
      </c>
      <c r="C53" s="62">
        <v>28.274231999999998</v>
      </c>
    </row>
    <row r="54" spans="2:3" x14ac:dyDescent="0.25">
      <c r="B54" s="40" t="s">
        <v>266</v>
      </c>
      <c r="C54" s="62">
        <v>23.582800000000002</v>
      </c>
    </row>
    <row r="55" spans="2:3" x14ac:dyDescent="0.25">
      <c r="B55" s="40" t="s">
        <v>267</v>
      </c>
      <c r="C55" s="62">
        <v>28.128989999999998</v>
      </c>
    </row>
    <row r="56" spans="2:3" x14ac:dyDescent="0.25">
      <c r="B56" s="40" t="s">
        <v>223</v>
      </c>
      <c r="C56" s="62">
        <v>107.19408399999999</v>
      </c>
    </row>
    <row r="57" spans="2:3" x14ac:dyDescent="0.25">
      <c r="B57" s="40" t="s">
        <v>268</v>
      </c>
      <c r="C57" s="62">
        <v>12.1959795</v>
      </c>
    </row>
    <row r="58" spans="2:3" x14ac:dyDescent="0.25">
      <c r="B58" s="40" t="s">
        <v>211</v>
      </c>
      <c r="C58" s="62">
        <v>21.009653999999998</v>
      </c>
    </row>
    <row r="59" spans="2:3" x14ac:dyDescent="0.25">
      <c r="B59" s="40" t="s">
        <v>269</v>
      </c>
      <c r="C59" s="62">
        <v>8.101934</v>
      </c>
    </row>
    <row r="60" spans="2:3" x14ac:dyDescent="0.25">
      <c r="B60" s="40" t="s">
        <v>270</v>
      </c>
      <c r="C60" s="62">
        <v>9.2471907999999985</v>
      </c>
    </row>
    <row r="61" spans="2:3" x14ac:dyDescent="0.25">
      <c r="B61" s="40" t="s">
        <v>213</v>
      </c>
      <c r="C61" s="62">
        <v>15.998599999999998</v>
      </c>
    </row>
    <row r="62" spans="2:3" x14ac:dyDescent="0.25">
      <c r="B62" s="40" t="s">
        <v>271</v>
      </c>
      <c r="C62" s="62">
        <v>11.552382000000001</v>
      </c>
    </row>
    <row r="63" spans="2:3" x14ac:dyDescent="0.25">
      <c r="B63" s="40" t="s">
        <v>226</v>
      </c>
      <c r="C63" s="62">
        <v>23.343679000000002</v>
      </c>
    </row>
    <row r="64" spans="2:3" x14ac:dyDescent="0.25">
      <c r="B64" s="40" t="s">
        <v>224</v>
      </c>
      <c r="C64" s="62">
        <v>17.398658000000001</v>
      </c>
    </row>
    <row r="65" spans="2:3" x14ac:dyDescent="0.25">
      <c r="B65" s="29" t="s">
        <v>95</v>
      </c>
      <c r="C65" s="64">
        <f>SUM(C32:C64)</f>
        <v>1572.8624505099999</v>
      </c>
    </row>
    <row r="66" spans="2:3" x14ac:dyDescent="0.25">
      <c r="B66" s="31"/>
      <c r="C66" s="64"/>
    </row>
    <row r="67" spans="2:3" x14ac:dyDescent="0.25">
      <c r="B67" s="31" t="s">
        <v>34</v>
      </c>
    </row>
    <row r="68" spans="2:3" x14ac:dyDescent="0.25">
      <c r="B68" s="33" t="s">
        <v>48</v>
      </c>
      <c r="C68" s="66"/>
    </row>
    <row r="69" spans="2:3" x14ac:dyDescent="0.25">
      <c r="B69" s="40"/>
      <c r="C69" s="66"/>
    </row>
    <row r="70" spans="2:3" x14ac:dyDescent="0.25">
      <c r="B70" s="31" t="s">
        <v>35</v>
      </c>
      <c r="C70" s="66"/>
    </row>
    <row r="71" spans="2:3" x14ac:dyDescent="0.25">
      <c r="B71" s="33" t="s">
        <v>49</v>
      </c>
      <c r="C71" s="66"/>
    </row>
    <row r="72" spans="2:3" x14ac:dyDescent="0.25">
      <c r="B72" s="40"/>
      <c r="C72" s="66"/>
    </row>
    <row r="73" spans="2:3" x14ac:dyDescent="0.25">
      <c r="B73" s="31" t="s">
        <v>36</v>
      </c>
      <c r="C73" s="66"/>
    </row>
    <row r="74" spans="2:3" x14ac:dyDescent="0.25">
      <c r="B74" s="31" t="s">
        <v>37</v>
      </c>
      <c r="C74" s="66"/>
    </row>
    <row r="75" spans="2:3" x14ac:dyDescent="0.25">
      <c r="B75" s="40" t="s">
        <v>102</v>
      </c>
      <c r="C75" s="66">
        <f>18.7470996689999</f>
        <v>18.747099668999901</v>
      </c>
    </row>
    <row r="76" spans="2:3" x14ac:dyDescent="0.25">
      <c r="B76" s="40" t="s">
        <v>103</v>
      </c>
      <c r="C76" s="66">
        <f>7.295948317+0.32</f>
        <v>7.615948317</v>
      </c>
    </row>
    <row r="77" spans="2:3" x14ac:dyDescent="0.25">
      <c r="B77" s="40" t="s">
        <v>104</v>
      </c>
      <c r="C77" s="66">
        <f>6.159314924</f>
        <v>6.1593149240000002</v>
      </c>
    </row>
    <row r="78" spans="2:3" x14ac:dyDescent="0.25">
      <c r="B78" s="40" t="s">
        <v>107</v>
      </c>
      <c r="C78" s="66">
        <f>8.467249925+2.71</f>
        <v>11.177249925000002</v>
      </c>
    </row>
    <row r="79" spans="2:3" x14ac:dyDescent="0.25">
      <c r="B79" s="40" t="s">
        <v>191</v>
      </c>
      <c r="C79" s="66">
        <f>0.55064342+5.08</f>
        <v>5.6306434200000002</v>
      </c>
    </row>
    <row r="80" spans="2:3" x14ac:dyDescent="0.25">
      <c r="B80" s="40" t="s">
        <v>106</v>
      </c>
      <c r="C80" s="66">
        <f>112.759437086+0.17+0.16</f>
        <v>113.089437086</v>
      </c>
    </row>
    <row r="81" spans="2:3" x14ac:dyDescent="0.25">
      <c r="B81" s="40" t="s">
        <v>85</v>
      </c>
      <c r="C81" s="66">
        <v>0.59711181999999996</v>
      </c>
    </row>
    <row r="82" spans="2:3" x14ac:dyDescent="0.25">
      <c r="B82" s="40" t="s">
        <v>74</v>
      </c>
      <c r="C82" s="66">
        <f>27.581895772+0.61+0.82+0.11</f>
        <v>29.121895771999998</v>
      </c>
    </row>
    <row r="83" spans="2:3" x14ac:dyDescent="0.25">
      <c r="B83" s="40" t="s">
        <v>72</v>
      </c>
      <c r="C83" s="66">
        <f>26.680969096+1.09+0.14+0.1</f>
        <v>28.010969096</v>
      </c>
    </row>
    <row r="84" spans="2:3" x14ac:dyDescent="0.25">
      <c r="B84" s="40" t="s">
        <v>84</v>
      </c>
      <c r="C84" s="66">
        <v>23.763761815999999</v>
      </c>
    </row>
    <row r="85" spans="2:3" x14ac:dyDescent="0.25">
      <c r="B85" s="40" t="s">
        <v>83</v>
      </c>
      <c r="C85" s="66">
        <v>5.0974214960000017</v>
      </c>
    </row>
    <row r="86" spans="2:3" x14ac:dyDescent="0.25">
      <c r="B86" s="40" t="s">
        <v>81</v>
      </c>
      <c r="C86" s="66">
        <v>34.641528706000017</v>
      </c>
    </row>
    <row r="87" spans="2:3" x14ac:dyDescent="0.25">
      <c r="B87" s="40" t="s">
        <v>82</v>
      </c>
      <c r="C87" s="66">
        <v>15.822049264999974</v>
      </c>
    </row>
    <row r="88" spans="2:3" x14ac:dyDescent="0.25">
      <c r="B88" s="40" t="s">
        <v>109</v>
      </c>
      <c r="C88" s="66">
        <f>85.349384713+0.37+0.07</f>
        <v>85.789384713000004</v>
      </c>
    </row>
    <row r="89" spans="2:3" x14ac:dyDescent="0.25">
      <c r="B89" s="40" t="s">
        <v>73</v>
      </c>
      <c r="C89" s="66">
        <v>13.509043073999997</v>
      </c>
    </row>
    <row r="90" spans="2:3" x14ac:dyDescent="0.25">
      <c r="B90" s="40" t="s">
        <v>75</v>
      </c>
      <c r="C90" s="66">
        <v>20.275515340000005</v>
      </c>
    </row>
    <row r="91" spans="2:3" x14ac:dyDescent="0.25">
      <c r="B91" s="40" t="s">
        <v>76</v>
      </c>
      <c r="C91" s="66">
        <f>1.977417887+0.01</f>
        <v>1.9874178870000001</v>
      </c>
    </row>
    <row r="92" spans="2:3" x14ac:dyDescent="0.25">
      <c r="B92" s="40" t="s">
        <v>77</v>
      </c>
      <c r="C92" s="66">
        <v>8.2244930229999973</v>
      </c>
    </row>
    <row r="93" spans="2:3" x14ac:dyDescent="0.25">
      <c r="B93" s="40" t="s">
        <v>78</v>
      </c>
      <c r="C93" s="66">
        <v>15.289957553999995</v>
      </c>
    </row>
    <row r="94" spans="2:3" x14ac:dyDescent="0.25">
      <c r="B94" s="40" t="s">
        <v>79</v>
      </c>
      <c r="C94" s="66">
        <v>29.201509201999979</v>
      </c>
    </row>
    <row r="95" spans="2:3" x14ac:dyDescent="0.25">
      <c r="B95" s="40" t="s">
        <v>86</v>
      </c>
      <c r="C95" s="66">
        <v>3.5185837159999975</v>
      </c>
    </row>
    <row r="96" spans="2:3" x14ac:dyDescent="0.25">
      <c r="B96" s="40" t="s">
        <v>110</v>
      </c>
      <c r="C96" s="66">
        <v>1.6382458549999988</v>
      </c>
    </row>
    <row r="97" spans="2:3" x14ac:dyDescent="0.25">
      <c r="B97" s="40" t="s">
        <v>105</v>
      </c>
      <c r="C97" s="66">
        <v>0.13428974600000002</v>
      </c>
    </row>
    <row r="98" spans="2:3" x14ac:dyDescent="0.25">
      <c r="B98" s="29" t="s">
        <v>50</v>
      </c>
      <c r="C98" s="63">
        <f>SUM(C75:C97)</f>
        <v>479.04287142199985</v>
      </c>
    </row>
    <row r="99" spans="2:3" x14ac:dyDescent="0.25">
      <c r="B99" s="40"/>
      <c r="C99" s="66"/>
    </row>
    <row r="100" spans="2:3" x14ac:dyDescent="0.25">
      <c r="B100" s="31" t="s">
        <v>38</v>
      </c>
      <c r="C100" s="67"/>
    </row>
    <row r="101" spans="2:3" x14ac:dyDescent="0.25">
      <c r="B101" s="31" t="s">
        <v>39</v>
      </c>
    </row>
    <row r="102" spans="2:3" x14ac:dyDescent="0.25">
      <c r="B102" s="40" t="s">
        <v>103</v>
      </c>
      <c r="C102" s="66">
        <f>2.849710217+0.17+0.04</f>
        <v>3.0597102170000001</v>
      </c>
    </row>
    <row r="103" spans="2:3" x14ac:dyDescent="0.25">
      <c r="B103" s="40" t="s">
        <v>104</v>
      </c>
      <c r="C103" s="66">
        <f>-0.193403129+1.6</f>
        <v>1.4065968710000001</v>
      </c>
    </row>
    <row r="104" spans="2:3" x14ac:dyDescent="0.25">
      <c r="B104" s="40" t="s">
        <v>191</v>
      </c>
      <c r="C104" s="66">
        <v>0.30830548500000005</v>
      </c>
    </row>
    <row r="105" spans="2:3" x14ac:dyDescent="0.25">
      <c r="B105" s="40" t="s">
        <v>102</v>
      </c>
      <c r="C105" s="66">
        <f>-0.374059642+4.13</f>
        <v>3.7559403579999997</v>
      </c>
    </row>
    <row r="106" spans="2:3" x14ac:dyDescent="0.25">
      <c r="B106" s="40" t="s">
        <v>108</v>
      </c>
      <c r="C106" s="66">
        <v>0</v>
      </c>
    </row>
    <row r="107" spans="2:3" x14ac:dyDescent="0.25">
      <c r="B107" s="28" t="s">
        <v>51</v>
      </c>
      <c r="C107" s="63">
        <f>SUM(C102:C106)</f>
        <v>8.5305529310000008</v>
      </c>
    </row>
    <row r="108" spans="2:3" x14ac:dyDescent="0.25">
      <c r="B108" s="31"/>
      <c r="C108" s="66"/>
    </row>
    <row r="109" spans="2:3" x14ac:dyDescent="0.25">
      <c r="B109" s="31" t="s">
        <v>40</v>
      </c>
      <c r="C109" s="66"/>
    </row>
    <row r="110" spans="2:3" x14ac:dyDescent="0.25">
      <c r="B110" s="31" t="s">
        <v>41</v>
      </c>
      <c r="C110" s="67"/>
    </row>
    <row r="111" spans="2:3" x14ac:dyDescent="0.25">
      <c r="B111" s="31" t="s">
        <v>42</v>
      </c>
      <c r="C111" s="66"/>
    </row>
    <row r="112" spans="2:3" x14ac:dyDescent="0.25">
      <c r="B112" s="29" t="s">
        <v>52</v>
      </c>
      <c r="C112" s="63">
        <v>0</v>
      </c>
    </row>
    <row r="113" spans="2:3" x14ac:dyDescent="0.25">
      <c r="B113" s="40"/>
      <c r="C113" s="66"/>
    </row>
    <row r="114" spans="2:3" x14ac:dyDescent="0.25">
      <c r="B114" s="31" t="s">
        <v>43</v>
      </c>
      <c r="C114" s="66"/>
    </row>
    <row r="115" spans="2:3" x14ac:dyDescent="0.25">
      <c r="B115" s="31" t="s">
        <v>44</v>
      </c>
      <c r="C115" s="64"/>
    </row>
    <row r="116" spans="2:3" x14ac:dyDescent="0.25">
      <c r="B116" s="40" t="s">
        <v>80</v>
      </c>
      <c r="C116" s="66">
        <v>28.898502326999974</v>
      </c>
    </row>
    <row r="117" spans="2:3" x14ac:dyDescent="0.25">
      <c r="B117" s="29" t="s">
        <v>53</v>
      </c>
      <c r="C117" s="64">
        <v>28.898502326999974</v>
      </c>
    </row>
    <row r="118" spans="2:3" x14ac:dyDescent="0.25">
      <c r="B118" s="33"/>
      <c r="C118" s="64"/>
    </row>
    <row r="119" spans="2:3" x14ac:dyDescent="0.25">
      <c r="B119" s="31" t="s">
        <v>45</v>
      </c>
    </row>
    <row r="120" spans="2:3" x14ac:dyDescent="0.25">
      <c r="B120" s="40" t="s">
        <v>103</v>
      </c>
      <c r="C120" s="66">
        <v>1.0991625059999994</v>
      </c>
    </row>
    <row r="121" spans="2:3" x14ac:dyDescent="0.25">
      <c r="B121" s="40" t="s">
        <v>191</v>
      </c>
      <c r="C121" s="66">
        <v>2.5262758820000002</v>
      </c>
    </row>
    <row r="122" spans="2:3" x14ac:dyDescent="0.25">
      <c r="B122" s="40" t="s">
        <v>104</v>
      </c>
      <c r="C122" s="66">
        <v>0.22729591999999993</v>
      </c>
    </row>
    <row r="123" spans="2:3" x14ac:dyDescent="0.25">
      <c r="B123" s="28" t="s">
        <v>46</v>
      </c>
      <c r="C123" s="67">
        <f>SUM(C120:C122)</f>
        <v>3.8527343079999996</v>
      </c>
    </row>
    <row r="125" spans="2:3" x14ac:dyDescent="0.25">
      <c r="B125" s="33" t="s">
        <v>54</v>
      </c>
      <c r="C125" s="64">
        <v>3537.8705423685697</v>
      </c>
    </row>
    <row r="126" spans="2:3" x14ac:dyDescent="0.25">
      <c r="B126" s="33"/>
      <c r="C126" s="64"/>
    </row>
    <row r="127" spans="2:3" x14ac:dyDescent="0.25">
      <c r="B127" s="31" t="s">
        <v>32</v>
      </c>
      <c r="C127" s="32"/>
    </row>
    <row r="128" spans="2:3" x14ac:dyDescent="0.25">
      <c r="B128" s="51" t="s">
        <v>273</v>
      </c>
      <c r="C128" s="52">
        <v>5.68</v>
      </c>
    </row>
    <row r="129" spans="2:3" x14ac:dyDescent="0.25">
      <c r="B129" s="51" t="s">
        <v>274</v>
      </c>
      <c r="C129" s="52">
        <v>75.290000000000006</v>
      </c>
    </row>
    <row r="130" spans="2:3" x14ac:dyDescent="0.25">
      <c r="B130" s="51" t="s">
        <v>240</v>
      </c>
      <c r="C130" s="52">
        <v>35.988999999999997</v>
      </c>
    </row>
    <row r="131" spans="2:3" x14ac:dyDescent="0.25">
      <c r="B131" s="51" t="s">
        <v>235</v>
      </c>
      <c r="C131" s="52">
        <v>28.550999999999998</v>
      </c>
    </row>
    <row r="132" spans="2:3" x14ac:dyDescent="0.25">
      <c r="B132" s="55" t="s">
        <v>63</v>
      </c>
      <c r="C132" s="30">
        <f>SUM(C128:C131)</f>
        <v>145.51</v>
      </c>
    </row>
    <row r="133" spans="2:3" x14ac:dyDescent="0.25">
      <c r="B133" s="33"/>
      <c r="C133" s="64"/>
    </row>
    <row r="134" spans="2:3" x14ac:dyDescent="0.25">
      <c r="B134" s="33" t="s">
        <v>55</v>
      </c>
      <c r="C134" s="64">
        <f>מאוחד!D29</f>
        <v>1890525.6312500001</v>
      </c>
    </row>
  </sheetData>
  <dataValidations disablePrompts="1" count="1">
    <dataValidation allowBlank="1" showInputMessage="1" showErrorMessage="1" sqref="B8" xr:uid="{62248C3D-E09D-4296-80DA-F2BBEBC1152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9</vt:i4>
      </vt:variant>
    </vt:vector>
  </HeadingPairs>
  <TitlesOfParts>
    <vt:vector size="9" baseType="lpstr">
      <vt:lpstr>נספח לאוצר</vt:lpstr>
      <vt:lpstr>מאוחד</vt:lpstr>
      <vt:lpstr>מסלולי לבני 50-60</vt:lpstr>
      <vt:lpstr>מסלול לבני 50 ומטה</vt:lpstr>
      <vt:lpstr>מסלול לבני 60 ומעלה</vt:lpstr>
      <vt:lpstr>מסלול ללא מניות</vt:lpstr>
      <vt:lpstr>מסלול מניות</vt:lpstr>
      <vt:lpstr>נספח 2</vt:lpstr>
      <vt:lpstr>נספח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2025-01-02T08:50:33Z</dcterms:modified>
</cp:coreProperties>
</file>