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ami-dc02\FolderRedirection\merav\Desktop\"/>
    </mc:Choice>
  </mc:AlternateContent>
  <xr:revisionPtr revIDLastSave="0" documentId="13_ncr:1_{CD7B4B97-D94E-48D7-8342-17F5F1FF8F1A}" xr6:coauthVersionLast="47" xr6:coauthVersionMax="47" xr10:uidLastSave="{00000000-0000-0000-0000-000000000000}"/>
  <bookViews>
    <workbookView xWindow="-108" yWindow="-108" windowWidth="23256" windowHeight="12576" xr2:uid="{AF323B5B-5548-4F7F-9A1F-396E607CC186}"/>
  </bookViews>
  <sheets>
    <sheet name="מאוחד" sheetId="1" r:id="rId1"/>
    <sheet name="לבני 50-60" sheetId="2" r:id="rId2"/>
    <sheet name="לבני 50 ומטה" sheetId="3" r:id="rId3"/>
    <sheet name="לבני 60 ומעלה" sheetId="4" r:id="rId4"/>
    <sheet name="ללא מניות" sheetId="5" r:id="rId5"/>
    <sheet name="מניות" sheetId="6" r:id="rId6"/>
    <sheet name="S&amp;P 500" sheetId="7" r:id="rId7"/>
    <sheet name="נספח 2" sheetId="8" r:id="rId8"/>
    <sheet name="נספח 3" sheetId="9" r:id="rId9"/>
  </sheets>
  <definedNames>
    <definedName name="_____JVP2">#REF!</definedName>
    <definedName name="_____JVP3">#REF!</definedName>
    <definedName name="____JVP2">#REF!</definedName>
    <definedName name="____JVP3">#REF!</definedName>
    <definedName name="___JVP2">#REF!</definedName>
    <definedName name="___JVP3">#REF!</definedName>
    <definedName name="__JVP2">#REF!</definedName>
    <definedName name="__JVP3">#REF!</definedName>
    <definedName name="_xlnm._FilterDatabase" localSheetId="8" hidden="1">'נספח 3'!$B$6:$D$71</definedName>
    <definedName name="_JVP2">#REF!</definedName>
    <definedName name="_JVP3">#REF!</definedName>
    <definedName name="a">#REF!</definedName>
    <definedName name="AFIK" localSheetId="2">#REF!</definedName>
    <definedName name="AFIK" localSheetId="3">#REF!</definedName>
    <definedName name="AFIK" localSheetId="4">#REF!</definedName>
    <definedName name="AFIK" localSheetId="0">#REF!</definedName>
    <definedName name="AFIK" localSheetId="5">#REF!</definedName>
    <definedName name="AFIK">#REF!</definedName>
    <definedName name="AFIK_KOD" localSheetId="2">#REF!</definedName>
    <definedName name="AFIK_KOD" localSheetId="3">#REF!</definedName>
    <definedName name="AFIK_KOD" localSheetId="4">#REF!</definedName>
    <definedName name="AFIK_KOD" localSheetId="0">#REF!</definedName>
    <definedName name="AFIK_KOD" localSheetId="5">#REF!</definedName>
    <definedName name="AFIK_KOD">#REF!</definedName>
    <definedName name="AFIK_SUM" localSheetId="2">#REF!</definedName>
    <definedName name="AFIK_SUM" localSheetId="3">#REF!</definedName>
    <definedName name="AFIK_SUM" localSheetId="4">#REF!</definedName>
    <definedName name="AFIK_SUM" localSheetId="0">#REF!</definedName>
    <definedName name="AFIK_SUM" localSheetId="5">#REF!</definedName>
    <definedName name="AFIK_SUM">#REF!</definedName>
    <definedName name="AFIK_SUM_NAME" localSheetId="2">#REF!</definedName>
    <definedName name="AFIK_SUM_NAME" localSheetId="3">#REF!</definedName>
    <definedName name="AFIK_SUM_NAME" localSheetId="4">#REF!</definedName>
    <definedName name="AFIK_SUM_NAME" localSheetId="0">#REF!</definedName>
    <definedName name="AFIK_SUM_NAME" localSheetId="5">#REF!</definedName>
    <definedName name="AFIK_SUM_NAME">#REF!</definedName>
    <definedName name="BROK_KASHUR" localSheetId="2">#REF!</definedName>
    <definedName name="BROK_KASHUR" localSheetId="3">#REF!</definedName>
    <definedName name="BROK_KASHUR" localSheetId="4">#REF!</definedName>
    <definedName name="BROK_KASHUR" localSheetId="0">#REF!</definedName>
    <definedName name="BROK_KASHUR" localSheetId="5">#REF!</definedName>
    <definedName name="BROK_KASHUR">#REF!</definedName>
    <definedName name="Castod" localSheetId="6">#REF!</definedName>
    <definedName name="Castod">#REF!</definedName>
    <definedName name="checkState" localSheetId="2">#REF!</definedName>
    <definedName name="checkState" localSheetId="3">#REF!</definedName>
    <definedName name="checkState" localSheetId="4">#REF!</definedName>
    <definedName name="checkState" localSheetId="0">#REF!</definedName>
    <definedName name="checkState" localSheetId="5">#REF!</definedName>
    <definedName name="checkState">#REF!</definedName>
    <definedName name="comp_name" localSheetId="6">#REF!</definedName>
    <definedName name="comp_name">#REF!</definedName>
    <definedName name="currentValue" localSheetId="2">#REF!</definedName>
    <definedName name="currentValue" localSheetId="3">#REF!</definedName>
    <definedName name="currentValue" localSheetId="4">#REF!</definedName>
    <definedName name="currentValue" localSheetId="0">#REF!</definedName>
    <definedName name="currentValue" localSheetId="5">#REF!</definedName>
    <definedName name="currentValue">#REF!</definedName>
    <definedName name="Custody1" localSheetId="2">#REF!</definedName>
    <definedName name="Custody1" localSheetId="3">#REF!</definedName>
    <definedName name="Custody1" localSheetId="4">#REF!</definedName>
    <definedName name="Custody1" localSheetId="0">#REF!</definedName>
    <definedName name="Custody1" localSheetId="5">#REF!</definedName>
    <definedName name="Custody1">#REF!</definedName>
    <definedName name="data_colm">#REF!</definedName>
    <definedName name="data_columns">#REF!</definedName>
    <definedName name="data_tocompany">#REF!</definedName>
    <definedName name="Date1" localSheetId="6">#REF!</definedName>
    <definedName name="Date1" localSheetId="2">#REF!</definedName>
    <definedName name="Date1" localSheetId="3">#REF!</definedName>
    <definedName name="Date1" localSheetId="4">#REF!</definedName>
    <definedName name="Date1" localSheetId="0">#REF!</definedName>
    <definedName name="Date1" localSheetId="5">#REF!</definedName>
    <definedName name="Date1">#REF!</definedName>
    <definedName name="dochdate">#REF!</definedName>
    <definedName name="dollar">#REF!</definedName>
    <definedName name="FORMULA" localSheetId="2">#REF!</definedName>
    <definedName name="FORMULA" localSheetId="3">#REF!</definedName>
    <definedName name="FORMULA" localSheetId="4">#REF!</definedName>
    <definedName name="FORMULA" localSheetId="0">#REF!</definedName>
    <definedName name="FORMULA" localSheetId="5">#REF!</definedName>
    <definedName name="FORMULA">#REF!</definedName>
    <definedName name="hodesh">#REF!</definedName>
    <definedName name="KRANOT_KASHUR" localSheetId="2">#REF!</definedName>
    <definedName name="KRANOT_KASHUR" localSheetId="3">#REF!</definedName>
    <definedName name="KRANOT_KASHUR" localSheetId="4">#REF!</definedName>
    <definedName name="KRANOT_KASHUR" localSheetId="0">#REF!</definedName>
    <definedName name="KRANOT_KASHUR" localSheetId="5">#REF!</definedName>
    <definedName name="KRANOT_KASHUR">#REF!</definedName>
    <definedName name="Kupa1" localSheetId="2">#REF!</definedName>
    <definedName name="Kupa1" localSheetId="3">#REF!</definedName>
    <definedName name="Kupa1" localSheetId="4">#REF!</definedName>
    <definedName name="Kupa1" localSheetId="0">#REF!</definedName>
    <definedName name="Kupa1" localSheetId="5">#REF!</definedName>
    <definedName name="Kupa1">#REF!</definedName>
    <definedName name="kupaNoga" localSheetId="6">OFFSET(#REF!,0,0,COUNTA(#REF!)-1,1)</definedName>
    <definedName name="kupaNoga" localSheetId="2">OFFSET(#REF!,0,0,COUNTA(#REF!)-1,1)</definedName>
    <definedName name="kupaNoga" localSheetId="3">OFFSET(#REF!,0,0,COUNTA(#REF!)-1,1)</definedName>
    <definedName name="kupaNoga" localSheetId="4">OFFSET(#REF!,0,0,COUNTA(#REF!)-1,1)</definedName>
    <definedName name="kupaNoga" localSheetId="0">OFFSET(#REF!,0,0,COUNTA(#REF!)-1,1)</definedName>
    <definedName name="kupaNoga" localSheetId="5">OFFSET(#REF!,0,0,COUNTA(#REF!)-1,1)</definedName>
    <definedName name="kupaNoga">OFFSET(#REF!,0,0,COUNTA(#REF!)-1,1)</definedName>
    <definedName name="line3">#REF!</definedName>
    <definedName name="list_dates">#REF!</definedName>
    <definedName name="madad">#REF!</definedName>
    <definedName name="MaslulNoga" localSheetId="6">OFFSET(#REF!,0,0,COUNTA(#REF!)-1,1)</definedName>
    <definedName name="MaslulNoga" localSheetId="2">OFFSET(#REF!,0,0,COUNTA(#REF!)-1,1)</definedName>
    <definedName name="MaslulNoga" localSheetId="3">OFFSET(#REF!,0,0,COUNTA(#REF!)-1,1)</definedName>
    <definedName name="MaslulNoga" localSheetId="4">OFFSET(#REF!,0,0,COUNTA(#REF!)-1,1)</definedName>
    <definedName name="MaslulNoga" localSheetId="0">OFFSET(#REF!,0,0,COUNTA(#REF!)-1,1)</definedName>
    <definedName name="MaslulNoga" localSheetId="5">OFFSET(#REF!,0,0,COUNTA(#REF!)-1,1)</definedName>
    <definedName name="MaslulNoga">OFFSET(#REF!,0,0,COUNTA(#REF!)-1,1)</definedName>
    <definedName name="mngCompany" localSheetId="6">#REF!</definedName>
    <definedName name="mngCompany" localSheetId="2">#REF!</definedName>
    <definedName name="mngCompany" localSheetId="3">#REF!</definedName>
    <definedName name="mngCompany" localSheetId="4">#REF!</definedName>
    <definedName name="mngCompany" localSheetId="0">#REF!</definedName>
    <definedName name="mngCompany" localSheetId="5">#REF!</definedName>
    <definedName name="mngCompany">#REF!</definedName>
    <definedName name="mngNum" localSheetId="2">#REF!</definedName>
    <definedName name="mngNum" localSheetId="3">#REF!</definedName>
    <definedName name="mngNum" localSheetId="4">#REF!</definedName>
    <definedName name="mngNum" localSheetId="0">#REF!</definedName>
    <definedName name="mngNum" localSheetId="5">#REF!</definedName>
    <definedName name="mngNum">#REF!</definedName>
    <definedName name="pathDE" localSheetId="2">#REF!</definedName>
    <definedName name="pathDE" localSheetId="3">#REF!</definedName>
    <definedName name="pathDE" localSheetId="4">#REF!</definedName>
    <definedName name="pathDE" localSheetId="0">#REF!</definedName>
    <definedName name="pathDE" localSheetId="5">#REF!</definedName>
    <definedName name="pathDE">#REF!</definedName>
    <definedName name="pathLastDE" localSheetId="2">#REF!</definedName>
    <definedName name="pathLastDE" localSheetId="3">#REF!</definedName>
    <definedName name="pathLastDE" localSheetId="4">#REF!</definedName>
    <definedName name="pathLastDE" localSheetId="0">#REF!</definedName>
    <definedName name="pathLastDE" localSheetId="5">#REF!</definedName>
    <definedName name="pathLastDE">#REF!</definedName>
    <definedName name="Period1">#REF!</definedName>
    <definedName name="range_data">#REF!</definedName>
    <definedName name="sal">#REF!</definedName>
    <definedName name="savePath" localSheetId="2">#REF!</definedName>
    <definedName name="savePath" localSheetId="3">#REF!</definedName>
    <definedName name="savePath" localSheetId="4">#REF!</definedName>
    <definedName name="savePath" localSheetId="0">#REF!</definedName>
    <definedName name="savePath" localSheetId="5">#REF!</definedName>
    <definedName name="savePath">#REF!</definedName>
    <definedName name="SUG_MUZAR" localSheetId="6">#REF!</definedName>
    <definedName name="SUG_MUZAR">#REF!</definedName>
    <definedName name="table_company">#REF!</definedName>
    <definedName name="to_date" localSheetId="6">#REF!</definedName>
    <definedName name="to_date">#REF!</definedName>
    <definedName name="toggleValue" localSheetId="2">#REF!</definedName>
    <definedName name="toggleValue" localSheetId="3">#REF!</definedName>
    <definedName name="toggleValue" localSheetId="4">#REF!</definedName>
    <definedName name="toggleValue" localSheetId="0">#REF!</definedName>
    <definedName name="toggleValue" localSheetId="5">#REF!</definedName>
    <definedName name="toggleValue">#REF!</definedName>
    <definedName name="TT_AFIK_KOD" localSheetId="2">#REF!</definedName>
    <definedName name="TT_AFIK_KOD" localSheetId="3">#REF!</definedName>
    <definedName name="TT_AFIK_KOD" localSheetId="4">#REF!</definedName>
    <definedName name="TT_AFIK_KOD" localSheetId="0">#REF!</definedName>
    <definedName name="TT_AFIK_KOD" localSheetId="5">#REF!</definedName>
    <definedName name="TT_AFIK_KOD">#REF!</definedName>
    <definedName name="_xlnm.Print_Area" localSheetId="0">מאוחד!$A$1:$E$70</definedName>
    <definedName name="איפקס">#REF!</definedName>
    <definedName name="גולדן_אקדמאים">#REF!</definedName>
    <definedName name="גולדן_קופות">#REF!</definedName>
    <definedName name="גיזה3">#REF!</definedName>
    <definedName name="וולדן">#REF!</definedName>
    <definedName name="חודש_נוכחי">#REF!</definedName>
    <definedName name="חודש_קודם">#REF!</definedName>
    <definedName name="יי">#REF!</definedName>
    <definedName name="כלימארק">#REF!</definedName>
    <definedName name="מדיקה">#REF!</definedName>
    <definedName name="מדיקה2">#REF!</definedName>
    <definedName name="מהלכים">#REF!</definedName>
    <definedName name="פורטיסימו">#REF!</definedName>
    <definedName name="פורמולה">#REF!</definedName>
    <definedName name="פימי_אופורטוניטי">#REF!</definedName>
    <definedName name="פימי_מזנין">#REF!</definedName>
    <definedName name="פלטינום">#REF!</definedName>
    <definedName name="פנטין">#REF!</definedName>
    <definedName name="פרגרין">#REF!</definedName>
    <definedName name="קרןיוזמה">#REF!</definedName>
    <definedName name="ריכוז">#REF!</definedName>
    <definedName name="ריכוז_שערים">#REF!</definedName>
    <definedName name="ש">#REF!</definedName>
    <definedName name="שער_נוכחי">#REF!</definedName>
    <definedName name="שער_קודם">#REF!</definedName>
    <definedName name="תמ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D60" i="1"/>
  <c r="D62" i="1" s="1"/>
  <c r="D57" i="1"/>
  <c r="D52" i="1"/>
  <c r="D37" i="1"/>
  <c r="D27" i="1"/>
  <c r="D25" i="1"/>
  <c r="D15" i="1"/>
  <c r="D11" i="1"/>
  <c r="D7" i="1"/>
  <c r="C152" i="9" l="1"/>
  <c r="C151" i="9"/>
  <c r="C139" i="9"/>
  <c r="C132" i="9"/>
  <c r="C128" i="9"/>
  <c r="C118" i="9"/>
  <c r="C120" i="9" s="1"/>
  <c r="C113" i="9"/>
  <c r="C93" i="9"/>
  <c r="C104" i="9" s="1"/>
  <c r="C34" i="9"/>
  <c r="D48" i="8"/>
  <c r="D35" i="8"/>
  <c r="D37" i="7"/>
  <c r="D29" i="7"/>
  <c r="D27" i="7" s="1"/>
  <c r="D52" i="7" s="1"/>
  <c r="D54" i="7" s="1"/>
  <c r="D25" i="7"/>
  <c r="D60" i="7" s="1"/>
  <c r="D62" i="7" s="1"/>
  <c r="D52" i="6"/>
  <c r="D54" i="6" s="1"/>
  <c r="D46" i="6"/>
  <c r="D57" i="6" s="1"/>
  <c r="D27" i="6"/>
  <c r="D11" i="6"/>
  <c r="D9" i="6"/>
  <c r="D7" i="6"/>
  <c r="D25" i="6" s="1"/>
  <c r="D57" i="5"/>
  <c r="D54" i="5"/>
  <c r="D52" i="5"/>
  <c r="D37" i="5"/>
  <c r="D27" i="5"/>
  <c r="D11" i="5"/>
  <c r="D9" i="5"/>
  <c r="D7" i="5" s="1"/>
  <c r="D25" i="5" s="1"/>
  <c r="D39" i="4"/>
  <c r="D57" i="4" s="1"/>
  <c r="D27" i="4"/>
  <c r="D25" i="4"/>
  <c r="D31" i="4" s="1"/>
  <c r="D67" i="4" s="1"/>
  <c r="D11" i="4"/>
  <c r="D7" i="4"/>
  <c r="D52" i="3"/>
  <c r="D54" i="3" s="1"/>
  <c r="D39" i="3"/>
  <c r="D57" i="3" s="1"/>
  <c r="D27" i="3"/>
  <c r="D11" i="3"/>
  <c r="D9" i="3"/>
  <c r="D7" i="3"/>
  <c r="D25" i="3" s="1"/>
  <c r="D27" i="2"/>
  <c r="D17" i="2"/>
  <c r="D15" i="2" s="1"/>
  <c r="D11" i="2"/>
  <c r="D7" i="2"/>
  <c r="D25" i="2" s="1"/>
  <c r="C156" i="9"/>
  <c r="C154" i="9" l="1"/>
  <c r="D34" i="2"/>
  <c r="D60" i="6"/>
  <c r="D31" i="6"/>
  <c r="D67" i="6" s="1"/>
  <c r="D31" i="2"/>
  <c r="D67" i="2" s="1"/>
  <c r="D60" i="3"/>
  <c r="D31" i="3"/>
  <c r="D67" i="3" s="1"/>
  <c r="D60" i="5"/>
  <c r="D31" i="5"/>
  <c r="D67" i="5" s="1"/>
  <c r="C31" i="9"/>
  <c r="C71" i="9"/>
  <c r="D60" i="4"/>
  <c r="D52" i="4"/>
  <c r="D54" i="4" s="1"/>
  <c r="D31" i="7"/>
  <c r="D67" i="7" s="1"/>
  <c r="D57" i="7"/>
  <c r="D37" i="3"/>
  <c r="D37" i="6"/>
  <c r="D37" i="4"/>
  <c r="D38" i="2" l="1"/>
  <c r="D62" i="5"/>
  <c r="D62" i="3"/>
  <c r="D62" i="6"/>
  <c r="D39" i="2"/>
  <c r="C134" i="9"/>
  <c r="D62" i="4"/>
  <c r="D37" i="2" l="1"/>
  <c r="D52" i="2"/>
  <c r="D57" i="2"/>
  <c r="D60" i="2"/>
  <c r="D62" i="2" l="1"/>
  <c r="D54" i="2"/>
</calcChain>
</file>

<file path=xl/sharedStrings.xml><?xml version="1.0" encoding="utf-8"?>
<sst xmlns="http://schemas.openxmlformats.org/spreadsheetml/2006/main" count="565" uniqueCount="243">
  <si>
    <t>בס"ד</t>
  </si>
  <si>
    <t>נספח 1 סך ההוצאות הישירות ששולמו בעד כל סוג של הוצאה ישירה לתקופה המסתיימת ביום - 31.12.2024</t>
  </si>
  <si>
    <t>אלפי ש''ח</t>
  </si>
  <si>
    <t>הוצאות ישירות שאינן מסוג עמלת ניהול חיצוני</t>
  </si>
  <si>
    <t>1. סך הכל עמלות קנייה ומכירה של ניירות ערך סחירים</t>
  </si>
  <si>
    <t>א. סך עמלות קנייה ומכירה של ניירות ערך סחירים לצדדים קשורים</t>
  </si>
  <si>
    <t>ב. סך עמלות קנייה ומכירה של ניירות ערך סחירים לצדדים שאינם קשורים</t>
  </si>
  <si>
    <t>2. סך הכל דמי שמירה בשל ניירות ערך סחירים וכל עמלה שגובה מי שמבצע את משמרות ניירות הערך (קסטודיאן)</t>
  </si>
  <si>
    <t>א. סך עמלות קסטודיאן לצדדים קשורים</t>
  </si>
  <si>
    <t>ב. סך עמלות קסטודיאן לצדדים שאינם קשורים</t>
  </si>
  <si>
    <t>3 . סך הכל הוצאות הנובעות מהשקעות לא סחירות</t>
  </si>
  <si>
    <t>א. הוצאה הנובעת מהשקעה בניירות ערך לא סחירים או ממתן הלוואה למי שאינו עמית או מבוטח</t>
  </si>
  <si>
    <t>ב. הוצאה הנובעת מהשקעה בזכויות במקרקעין</t>
  </si>
  <si>
    <t>4 . מסים החלים על משקיע מוסדי, על נכסיו, על הכנסותיו ועל עסקאות שנעשו בנכסיו</t>
  </si>
  <si>
    <t>5. סך הוצאות בעד ניהול תביעות</t>
  </si>
  <si>
    <t>6 . סך הוצאות בעד מתן משכנתאות</t>
  </si>
  <si>
    <t>8. שווי ממוצע של נכסי הקופה או המסלול (ממוצע פשוט של סעיפים 8 א. ו - 8 ב.)</t>
  </si>
  <si>
    <t>א. השווי המשוערך של נכסי הקופה או המסלול נכון ליום 31 בדצמבר של שנת הכספים שהסתיימה ב 2024</t>
  </si>
  <si>
    <t>ב. השווי המשוערך של נכסי הקופה או המסלול נכון ליום 31 בדצמבר של שנת הכספים שהסתיימה ב 2023</t>
  </si>
  <si>
    <t>9. שיעור שנתי של הוצאות ישירות שאינן מסוג עמלת ניהול חיצוני (חלוקה של סעיף 7 בסעיף 8)</t>
  </si>
  <si>
    <t>הוצאות ישירות מסוג עמלת ניהול חיצוני</t>
  </si>
  <si>
    <t xml:space="preserve">10 . סך דמי ניהול משתנים – החלק מתשלום עמלת ניהול חיצוני שנגזר מתשואת הנכסים </t>
  </si>
  <si>
    <t>11. סהכ הוצאות ישירות מסוג "עמלת ניהול חיצוני" (סכום סעיפים 11 א. עד 11 ט.)</t>
  </si>
  <si>
    <t>א. סך תשלומים הנובעים מהשקעה בקרנות השקעה בישראל</t>
  </si>
  <si>
    <t>ב. סך תשלומים הנובעים מהשקעה בקרנות השקעה בחול</t>
  </si>
  <si>
    <t>ג. סך תשלומים למנהלי תיקים ישראלים בגין השקעה בחול</t>
  </si>
  <si>
    <t>ד. סך תשלומים למנהלי תיקים זרים</t>
  </si>
  <si>
    <t>ה. סך תשלומים בגין השקעה בקרנות סל כאשר 75 אחוזים לפחות מנכסי הקרן הם נכסים שהונפקו במדינת ישראל</t>
  </si>
  <si>
    <t>לפי מדדים שעליהם הורה הממונה ובתנאים שהורה</t>
  </si>
  <si>
    <t>ו. סך תשלומים בגין השקעה בקרנות סל כאשר 75 אחוזים לפחות מנכסי הקרן הם נכסים שלא הונפקו במדינת</t>
  </si>
  <si>
    <t xml:space="preserve"> </t>
  </si>
  <si>
    <t>ז. סך תשלומים בגין השקעה בקרנות נאמנות ישראליות כאשר 75 אחוזים לפחות מנכסי הקרן מושקעים בנכסים שלא</t>
  </si>
  <si>
    <t>הונפקו במדינת ישראל ואינם נסחרים או מוחזקים בה</t>
  </si>
  <si>
    <t>ח. סך תשלומים בגין השקעה בקרנות נאמנות זרות כאשר 75 אחוזים לפחות מנכסי הקרן מושקעים בנכסים שלא</t>
  </si>
  <si>
    <t>ט. סך תשלומים בגין השקעה בקרן טכנולוגיה עילית</t>
  </si>
  <si>
    <t>12. שיעור עמלת ניהול חיצוני בפועל  לפני החזר, ככל שבוצע (חלוקה של סעיף 11 בסעיף 8.ב)</t>
  </si>
  <si>
    <t>13. שיעור מגבלת עמלת ניהול חיצוני שהמשקיע המוסדי הצהיר עליה עבור שנת הכספים שהסתיימה 2024</t>
  </si>
  <si>
    <t>14. ההפרש בין שיעור מגבלת עמלת ניהול חיצוני מוצהרת לבין שיעור עמלת ניהול חיצוני בפועל (סעיף 13 פחות סעיף 12)</t>
  </si>
  <si>
    <t>15.א סכום שהוחזר לחוסכים (אם הוחזר)</t>
  </si>
  <si>
    <t>15.ב שיעור עמלת ניהול חיצוני בפועל לאחר החזר, )חלוקה של התוצאה של סעיף 11 בניכוי סעיף 15א, בסעיף 8.ב(</t>
  </si>
  <si>
    <t>סך הכל הוצאות ישירות בפועל (למעט דמי ניהול משתנים כאמור בסעיף 10)</t>
  </si>
  <si>
    <t>16. סך כל הוצאות ישירות (סכום של סעיף 7 וסעיף 11 בניכוי סעיף 15)</t>
  </si>
  <si>
    <t>17. שיעור סך ההוצאות הישירות מתוך יתרת נכסים ממוצעת (חלוקה של סעיף 16 בסעיף 8)</t>
  </si>
  <si>
    <t>סך הכל הוצאות ישירות (לצורך חישוב שיעור עלות שנתית צפויה)</t>
  </si>
  <si>
    <t>שנת הכספים 2025</t>
  </si>
  <si>
    <t>19. שיעור הוצאות ישירות (סכום של סעיף 9 וסעיף 18)</t>
  </si>
  <si>
    <t>*</t>
  </si>
  <si>
    <t>מסלול 500 S&amp;P החל לפעול בחודש אוגוסט 2024</t>
  </si>
  <si>
    <t>עמי מסלול לבני 50 עד 60</t>
  </si>
  <si>
    <t>7. סך הכל הוצאות ישירות שאינן מסוג עמלת ניהול חיצוני )סכום סעיפים 1 עד 6(</t>
  </si>
  <si>
    <t>8. שווי ממוצע של נכסי הקופה או המסלול )ממוצע פשוט של סעיפים 8 א. ו - 8 ב.(</t>
  </si>
  <si>
    <t>ישראל ואינם נסחרים או מוחזקים בה</t>
  </si>
  <si>
    <t xml:space="preserve">18. שיעור מגבלת עמלת ניהול חיצוני שהמשקיע המוסדי הצהיר עליה בהתאם לתקנה 2א לתקנות הוצאות ישירות עבור </t>
  </si>
  <si>
    <t>שנת הכספים הבאה 2025</t>
  </si>
  <si>
    <t>עמי גמל בני 50 ומטה</t>
  </si>
  <si>
    <t>עמי גמל מסלול לבני 60 ומעלה</t>
  </si>
  <si>
    <t>קופת גמל עמי מסלול אשראי ואג"ח (ללא מניות)</t>
  </si>
  <si>
    <t xml:space="preserve"> עמי גמל מניות </t>
  </si>
  <si>
    <t>קופת גמל עמ''י עוקב מדד S&amp;P 500</t>
  </si>
  <si>
    <t>7. סך הכל הוצאות ישירות שאינן מסוג עמלת ניהול חיצוני (סכום סעיפים 1 עד 6)</t>
  </si>
  <si>
    <t>א. השווי המשוערך של נכסי הקופה או המסלול נכון ליום 31 דצמבר של שנת הכספים שהסתיימה ב 2024</t>
  </si>
  <si>
    <t>14. ההפרש בין שיעור מגבלת עמלת ניהול חיצוני מוצהרת לבין שיעור  עמלת ניהול חיצוני בפועל (סעיף 13 פחות סעיף 12)</t>
  </si>
  <si>
    <t>15.ב שיעור עמלת ניהול חיצוני בפועל לאחר החזר, (חלוקה של התוצאה של סעיף 11 בניכוי סעיף 15א, בסעיף 8.ב)</t>
  </si>
  <si>
    <t>16. סך כל הוצאות ישירות (סכום של סעיף 7 וסעיף 11 בניכוי סעיף 15א)</t>
  </si>
  <si>
    <t>נספח 2 פרוט עמלות והוצאות שאינן עמלות ניהול חיצוני לשנה המסתיימת ביום: 31.12.2024</t>
  </si>
  <si>
    <t>עמ''י-חברה לניהול גמל - קופת גמל</t>
  </si>
  <si>
    <t>ברוקארז' - עמלות קנייה ומכירה בגין ביצוע עסקאות בניירות ערך סחירים</t>
  </si>
  <si>
    <t>צדדים קשורים</t>
  </si>
  <si>
    <t>(1)</t>
  </si>
  <si>
    <t>ברוקר IBI</t>
  </si>
  <si>
    <t>צדדים שאינם קשורים</t>
  </si>
  <si>
    <t>בנק לאומי</t>
  </si>
  <si>
    <t>(2)</t>
  </si>
  <si>
    <t>ברוקר דיסקונט</t>
  </si>
  <si>
    <t>(3)</t>
  </si>
  <si>
    <t>ברוקר מזרחי טפחות</t>
  </si>
  <si>
    <t>(4)</t>
  </si>
  <si>
    <t>ברוקר אקסלנס</t>
  </si>
  <si>
    <t>(5)</t>
  </si>
  <si>
    <t>מיטב 5018</t>
  </si>
  <si>
    <t>(6)</t>
  </si>
  <si>
    <t>OSCAR GRUSS-14</t>
  </si>
  <si>
    <t>(7)</t>
  </si>
  <si>
    <t>LEADER</t>
  </si>
  <si>
    <t>(8)</t>
  </si>
  <si>
    <t>ברוקר לידר הנפקות</t>
  </si>
  <si>
    <t>(9)</t>
  </si>
  <si>
    <t>ברוקר זר</t>
  </si>
  <si>
    <t>(10)</t>
  </si>
  <si>
    <t>OPENHEIMER</t>
  </si>
  <si>
    <t>(11)</t>
  </si>
  <si>
    <t>GLOBAL CITI NY</t>
  </si>
  <si>
    <t>(12)</t>
  </si>
  <si>
    <t>בנק מזרחי</t>
  </si>
  <si>
    <t>סך עמלות ברוקראז'</t>
  </si>
  <si>
    <t>עמלות קסטודיאן</t>
  </si>
  <si>
    <t>סך עמלות קסטודיאן</t>
  </si>
  <si>
    <t>הוצאה הנובעת מהשקעה בניירות ערך לא סחירים או ממתן הלוואה</t>
  </si>
  <si>
    <t>סך הוצאות הנובעות מהשקעה בניירות ערך לא סחירים או ממתן הלוואה</t>
  </si>
  <si>
    <t>הוצאה הנובעת מהשקעה בזכויות מקרקעין</t>
  </si>
  <si>
    <t>סך הוצאות הנובעות מהשקעה בזכויות מקרקעין</t>
  </si>
  <si>
    <t>מסים החלים על הנכסים, ההכנסות והעסקאות</t>
  </si>
  <si>
    <t>דמי ביטוח בעד ביטוח משנה</t>
  </si>
  <si>
    <t>סך הכל תשלומים למבטחי משנה</t>
  </si>
  <si>
    <t>הוצאה הנובעת בעד ניהול תביעה או תובענה</t>
  </si>
  <si>
    <t>סך הוצאות הנובעות בעד ניהול תביעה או תובענה</t>
  </si>
  <si>
    <t>הוצאה הנובעת ממתן משכנתא</t>
  </si>
  <si>
    <t>סך הוצאות בעד מתן משכנתאות</t>
  </si>
  <si>
    <t>סך הכל עמלות והוצאות שאינן עמלות ניהול חיצוני</t>
  </si>
  <si>
    <t>נספח 3 - פירוט עמלות ניהול חיצוני לשנה המסתיימת ביום: 31.12.2024</t>
  </si>
  <si>
    <t>עמ''י-חברה לניהול קופות גמל ענפיוח בע"מ</t>
  </si>
  <si>
    <t>נתונים באלפי ש''ח</t>
  </si>
  <si>
    <t>תשלום הנובע מהשקעה בקרנות השקעה בישראל</t>
  </si>
  <si>
    <t>Alpha Value 1 LP</t>
  </si>
  <si>
    <t xml:space="preserve">Alpha Opportunities </t>
  </si>
  <si>
    <t>Evo Hospitality Fund</t>
  </si>
  <si>
    <t>Forma Fund I</t>
  </si>
  <si>
    <t>Fortissimo V</t>
  </si>
  <si>
    <t>Fortissimo VI</t>
  </si>
  <si>
    <t>Fimi Israel Opportunity 6</t>
  </si>
  <si>
    <t>Harel Alternative Credit Co-Invest</t>
  </si>
  <si>
    <t>Klirmark Fund III</t>
  </si>
  <si>
    <t>Klirmark Fund IV-IBI</t>
  </si>
  <si>
    <t>Klirmark IV-MORE</t>
  </si>
  <si>
    <t>Liquidity Capital  II</t>
  </si>
  <si>
    <t>Vintage IV</t>
  </si>
  <si>
    <t>Viola Credit GL II, L.P.</t>
  </si>
  <si>
    <t>Noked Bonds</t>
  </si>
  <si>
    <t>Noked Equity (Cayman) L.P.</t>
  </si>
  <si>
    <t>Noked Opportunity L.P.</t>
  </si>
  <si>
    <t>יסודות נדלן ב</t>
  </si>
  <si>
    <t>יסודות נדלן ג</t>
  </si>
  <si>
    <t>נוי 2</t>
  </si>
  <si>
    <t>קוגיטו קפיטל 2</t>
  </si>
  <si>
    <t>נוי 1</t>
  </si>
  <si>
    <t>סך תשלומים הנובעים מהשקעה בקרנות השקעה בישראל</t>
  </si>
  <si>
    <t>IBI SBL</t>
  </si>
  <si>
    <t>תשלום הנובע מהשקעה בקרנות השקעה בחול</t>
  </si>
  <si>
    <t>Alto II</t>
  </si>
  <si>
    <t>Alto III</t>
  </si>
  <si>
    <t>Ami Opportunities (APAX)</t>
  </si>
  <si>
    <t>Avenue Europe III</t>
  </si>
  <si>
    <t>Blue Atlantic PTNR</t>
  </si>
  <si>
    <t>Cheyne European Strategic II</t>
  </si>
  <si>
    <t>Coller Credit Opportunities</t>
  </si>
  <si>
    <t>ECP Fund V</t>
  </si>
  <si>
    <t>Electra America Principal Hospitality LP</t>
  </si>
  <si>
    <t>Electra Capital PM Feeder 4</t>
  </si>
  <si>
    <t>Electra Capital PM II  Feeder 3</t>
  </si>
  <si>
    <t>Electra Multifamily Investment Fund II</t>
  </si>
  <si>
    <t>EQT Infrastructure V (יורו)</t>
  </si>
  <si>
    <t>Faro Point FIVF III (F-5)</t>
  </si>
  <si>
    <t>Hamilton Co-invest IV</t>
  </si>
  <si>
    <t xml:space="preserve">Hanaco Ventures II </t>
  </si>
  <si>
    <t>HarbourVest Dover  X</t>
  </si>
  <si>
    <t>Dover Street XI Feeder Fund L.P</t>
  </si>
  <si>
    <t>ICG Europe VII</t>
  </si>
  <si>
    <t>ICG North American Private Debt II</t>
  </si>
  <si>
    <t>Insight Partners XII</t>
  </si>
  <si>
    <r>
      <t xml:space="preserve">Invesco Direct Lending_II </t>
    </r>
    <r>
      <rPr>
        <b/>
        <sz val="11"/>
        <rFont val="Calibri"/>
        <family val="2"/>
      </rPr>
      <t> </t>
    </r>
  </si>
  <si>
    <t>Madison Realty Capital Debt Fund VI LP</t>
  </si>
  <si>
    <t>More Alternative Credit  CLO</t>
  </si>
  <si>
    <t>Oak Street Real Estate Capital Fund VI LP</t>
  </si>
  <si>
    <t>Pagaya Smartresi F1 Fund LP</t>
  </si>
  <si>
    <t>Pantheon Access Feeder 2017</t>
  </si>
  <si>
    <t>Pantheon Global Infrastructure Fund IV (Luxembourg)</t>
  </si>
  <si>
    <t>Peregrine Ventures Growth General Partner LP</t>
  </si>
  <si>
    <t>QUMRA Opportunity Fund</t>
  </si>
  <si>
    <t>StarLight Bonds</t>
  </si>
  <si>
    <t>Target Global Growth Fund II</t>
  </si>
  <si>
    <t>Vertex Israel Opportunity II Fund LP</t>
  </si>
  <si>
    <t>Vintage Secondary IV</t>
  </si>
  <si>
    <t>Vintage Growth Fund III</t>
  </si>
  <si>
    <t>סך תשלומים הנובעים מהשקעה בקרנות השקעה בחול</t>
  </si>
  <si>
    <t>תשלום למנהל תיקים ישראלי</t>
  </si>
  <si>
    <t>סך תשלומים למנהלי תיקים ישראליים</t>
  </si>
  <si>
    <t>תשלום למנהל תיקים זר</t>
  </si>
  <si>
    <t>סך תשלום למנהלי תיקים זרים</t>
  </si>
  <si>
    <t>סך תשלומים בגין השקעה בקרן סל כאשר %75 לפחות מנכסי הקרן הם נכסים</t>
  </si>
  <si>
    <t>שלא הונפקו במדינת ישראל ואינם נסחרים או מוחזקים בה</t>
  </si>
  <si>
    <t xml:space="preserve">BlackRock  Asset Managment </t>
  </si>
  <si>
    <t>קסם קרנות נאמנות בע"מ</t>
  </si>
  <si>
    <t>הראל קרנות נאמנות בע"מ</t>
  </si>
  <si>
    <t>מגדל קרנות נאמנות בע"מ</t>
  </si>
  <si>
    <t>מור ניהול קרנות נאמנות בע"מ</t>
  </si>
  <si>
    <t>מיטב תכלית קרנות נאמנות בע"מ</t>
  </si>
  <si>
    <t>Vanguard Group</t>
  </si>
  <si>
    <t>State Street Corp</t>
  </si>
  <si>
    <t>S&amp;P 500</t>
  </si>
  <si>
    <t>Real Estate Credit Investments Pcc ltd</t>
  </si>
  <si>
    <t>Global X Management Co LLc</t>
  </si>
  <si>
    <t>Van Eck ETF</t>
  </si>
  <si>
    <t>Invesco investment management limited</t>
  </si>
  <si>
    <t>500UFP EQUITY</t>
  </si>
  <si>
    <t>KRANESHARES</t>
  </si>
  <si>
    <t>WSDTRE CHN EXST</t>
  </si>
  <si>
    <t>WisdomTree</t>
  </si>
  <si>
    <t>BlackRock  Asset Managment ireland</t>
  </si>
  <si>
    <t>LYXOR ETF</t>
  </si>
  <si>
    <t>SXLE LN</t>
  </si>
  <si>
    <t>ילין לפידות ניהול קרנות נאמנות</t>
  </si>
  <si>
    <t>סך תשלום למנהלי קרנות סל</t>
  </si>
  <si>
    <t>סך תשלומים בגין השקעה בקרן סל כאשר 75% לפחות מנכסי הקרן הם נכסים</t>
  </si>
  <si>
    <t>שהונפקו במדינת ישראל לפי מדדים שעליהם הורה הממונה ובתנאים שהורה</t>
  </si>
  <si>
    <t>סך תשלום למנהלי קרן סל</t>
  </si>
  <si>
    <t>תשלום בגין השקעה בקרנות נאמנות ישראליות כאשר 75% לפחות מנכסי</t>
  </si>
  <si>
    <t>הקרן מושקעים בנכסים שלא הונפקו במדינת ישראל ואינם נסחרים או</t>
  </si>
  <si>
    <t>מוחזקים בה</t>
  </si>
  <si>
    <t>סך תשלומים למנהלי קרנות נאמנות ישראליות</t>
  </si>
  <si>
    <t>תשלום בגין השקעה בקרנות נאמנות זרות כאשר 75% לפחות מנכסי הקרן</t>
  </si>
  <si>
    <t>מושקעים בנכסים שלא הונפקו במדינת ישראל ואינם נסחרים או מוחזקים בה</t>
  </si>
  <si>
    <t>APS Fund SICAV - APS China A S</t>
  </si>
  <si>
    <t>CIFC Senior Secured Corporate</t>
  </si>
  <si>
    <t>CREDIT SUISSE</t>
  </si>
  <si>
    <t>סך תשלומים בגין השקעה בקרנות נאמנות זרות</t>
  </si>
  <si>
    <t>תשלומים בגין השקעה בקרן טכנולוגיה עילית</t>
  </si>
  <si>
    <t>סך תשלום בגין השקעה בקרן טכנולוגיה עילית</t>
  </si>
  <si>
    <t>סך הכל עמלות ניהול חיצוני</t>
  </si>
  <si>
    <t>תשלום של דמי ניהול משתנים</t>
  </si>
  <si>
    <t>מנגנון גביה</t>
  </si>
  <si>
    <t>מעל החזר תשואה לא מצטברת של 8%</t>
  </si>
  <si>
    <t>מעל החזר תשואה שנתית 8%</t>
  </si>
  <si>
    <t>לאחר החזרת 100% למשקיע</t>
  </si>
  <si>
    <t>מעל 7% 100% Full Catch up</t>
  </si>
  <si>
    <t>מעל תשואה 8% שנתית Full Catch up</t>
  </si>
  <si>
    <t>מעל תשואה שנתית מצטברת של 9%</t>
  </si>
  <si>
    <t>Fortissimo II</t>
  </si>
  <si>
    <t>בשיעור שנתי של 8%</t>
  </si>
  <si>
    <t>מעל תשואה שנתית מצטברת של 6%</t>
  </si>
  <si>
    <t>מעל ריבית בשיעור שנתי של 8%' Catch up 50-50</t>
  </si>
  <si>
    <t>מעל תשואה שנתית מצטברת של 8% (Catch up 10%)</t>
  </si>
  <si>
    <t>מעל תשואה של 8%</t>
  </si>
  <si>
    <t>מעל 5% , 50:50 Catch up</t>
  </si>
  <si>
    <t>החזר תשואה על ההשקעה למשקיעים של 7.5% לשנה</t>
  </si>
  <si>
    <t>מעל רף של 5% בכפוף ל-Catch up מלא מנגנון High Water Mark</t>
  </si>
  <si>
    <t>מעל תשואת סף של 3%</t>
  </si>
  <si>
    <t>תשואה חיובית ומעבר של HWM של הקרן</t>
  </si>
  <si>
    <t>סך תשלום דמי ניהול משתנים</t>
  </si>
  <si>
    <t>סך הכל נכסים לסוף שנה קודמת</t>
  </si>
  <si>
    <r>
      <t xml:space="preserve">7. סך הכל הוצאות ישירות </t>
    </r>
    <r>
      <rPr>
        <b/>
        <u/>
        <sz val="12"/>
        <color theme="1"/>
        <rFont val="Calibri"/>
        <family val="2"/>
      </rPr>
      <t>שאינן</t>
    </r>
    <r>
      <rPr>
        <b/>
        <sz val="12"/>
        <color theme="1"/>
        <rFont val="Calibri"/>
        <family val="2"/>
      </rPr>
      <t xml:space="preserve"> מסוג עמלת ניהול חיצוני (סכום סעיפים 1 עד 6)</t>
    </r>
  </si>
  <si>
    <r>
      <t xml:space="preserve">18. </t>
    </r>
    <r>
      <rPr>
        <b/>
        <u/>
        <sz val="11"/>
        <color theme="1"/>
        <rFont val="Calibri"/>
        <family val="2"/>
      </rPr>
      <t>שיעור מגבלת עמלת ניהול חיצוני</t>
    </r>
    <r>
      <rPr>
        <b/>
        <sz val="11"/>
        <color theme="1"/>
        <rFont val="Calibri"/>
        <family val="2"/>
      </rPr>
      <t xml:space="preserve"> שהמשקיע המוסדי הצהיר עליה בהתאם לתקנה 2א לתקנות הוצאות ישירות עבור </t>
    </r>
  </si>
  <si>
    <t>בהתאם לחוזר גופים מוסדיים 2015-9-8 בדבר דיווח לציבור על הוצאות ישירות המנוכות מחשבונות החוסכים, חישוב שיעור עמלת ניהול חיצוני בוצע מתוך יתרת הנכסים לתום שנת הכספים.</t>
  </si>
  <si>
    <t>עמ''י- חברה לניהול קופת גמל ענפיות בע"מ- קופת גמל לחסכון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</si>
</sst>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??_);_(@_)"/>
    <numFmt numFmtId="166" formatCode="##,##0.00,,&quot;M&quot;"/>
    <numFmt numFmtId="167" formatCode="_-* #,##0.00_-;\-* #,##0.00_-;_-* &quot;-&quot;??_-;_-@_-"/>
  </numFmts>
  <fonts count="4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David"/>
      <family val="2"/>
      <charset val="177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4"/>
      <color theme="1"/>
      <name val="Calibri"/>
      <family val="2"/>
    </font>
    <font>
      <b/>
      <sz val="12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Arial"/>
      <family val="2"/>
    </font>
    <font>
      <sz val="12"/>
      <color theme="1"/>
      <name val="Calibri"/>
      <family val="2"/>
    </font>
    <font>
      <b/>
      <u/>
      <sz val="12"/>
      <color rgb="FF0000FF"/>
      <name val="Calibri"/>
      <family val="2"/>
    </font>
    <font>
      <sz val="14"/>
      <name val="Calibri"/>
      <family val="2"/>
    </font>
    <font>
      <sz val="10"/>
      <color theme="1"/>
      <name val="David"/>
      <family val="2"/>
    </font>
    <font>
      <sz val="14"/>
      <color theme="1"/>
      <name val="David"/>
      <family val="2"/>
    </font>
    <font>
      <sz val="10"/>
      <name val="Arial"/>
      <family val="2"/>
    </font>
    <font>
      <b/>
      <sz val="12"/>
      <name val="Calibri"/>
      <family val="2"/>
    </font>
    <font>
      <sz val="12"/>
      <color theme="1"/>
      <name val="David"/>
      <family val="2"/>
    </font>
    <font>
      <sz val="12"/>
      <name val="Calibri"/>
      <family val="2"/>
    </font>
    <font>
      <sz val="11"/>
      <name val="Calibri"/>
      <family val="2"/>
      <charset val="177"/>
    </font>
    <font>
      <sz val="12"/>
      <color rgb="FFFF0000"/>
      <name val="David"/>
      <family val="2"/>
      <charset val="177"/>
    </font>
    <font>
      <sz val="11"/>
      <color theme="1"/>
      <name val="Calibri"/>
      <family val="2"/>
      <charset val="177"/>
    </font>
    <font>
      <sz val="12"/>
      <name val="Calibri"/>
      <family val="2"/>
      <charset val="177"/>
    </font>
    <font>
      <sz val="12"/>
      <name val="David"/>
      <family val="2"/>
      <charset val="177"/>
    </font>
    <font>
      <b/>
      <sz val="11"/>
      <color theme="1"/>
      <name val="Arial"/>
      <family val="2"/>
      <scheme val="minor"/>
    </font>
    <font>
      <sz val="10"/>
      <name val="Calibri"/>
      <family val="2"/>
    </font>
    <font>
      <b/>
      <sz val="11"/>
      <name val="Calibri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rgb="FF92CDDC"/>
      <name val="Calibri"/>
      <family val="2"/>
    </font>
    <font>
      <b/>
      <sz val="12"/>
      <color rgb="FFFFFFFF"/>
      <name val="Calibri"/>
      <family val="2"/>
    </font>
    <font>
      <sz val="9"/>
      <color rgb="FF000000"/>
      <name val="Arial"/>
      <family val="2"/>
    </font>
    <font>
      <sz val="11"/>
      <name val="Arial"/>
      <family val="2"/>
    </font>
    <font>
      <sz val="11"/>
      <name val="Calibri"/>
      <family val="2"/>
    </font>
    <font>
      <b/>
      <u/>
      <sz val="12"/>
      <color theme="1"/>
      <name val="Calibri"/>
      <family val="2"/>
    </font>
    <font>
      <b/>
      <u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21" fillId="0" borderId="0" applyFont="0" applyFill="0" applyBorder="0" applyAlignment="0" applyProtection="0"/>
  </cellStyleXfs>
  <cellXfs count="136">
    <xf numFmtId="0" fontId="0" fillId="0" borderId="0" xfId="0"/>
    <xf numFmtId="0" fontId="2" fillId="0" borderId="0" xfId="0" applyFont="1"/>
    <xf numFmtId="0" fontId="0" fillId="0" borderId="0" xfId="0" applyAlignment="1">
      <alignment horizontal="right" readingOrder="2"/>
    </xf>
    <xf numFmtId="0" fontId="3" fillId="0" borderId="0" xfId="0" applyFont="1" applyAlignment="1">
      <alignment horizontal="right" readingOrder="1"/>
    </xf>
    <xf numFmtId="0" fontId="4" fillId="0" borderId="0" xfId="0" applyFont="1" applyAlignment="1">
      <alignment vertical="center"/>
    </xf>
    <xf numFmtId="164" fontId="4" fillId="0" borderId="0" xfId="1" applyFont="1" applyFill="1"/>
    <xf numFmtId="0" fontId="4" fillId="0" borderId="0" xfId="0" applyFont="1"/>
    <xf numFmtId="0" fontId="5" fillId="0" borderId="0" xfId="0" applyFont="1" applyAlignment="1">
      <alignment horizontal="right" readingOrder="1"/>
    </xf>
    <xf numFmtId="0" fontId="3" fillId="0" borderId="0" xfId="0" applyFont="1" applyAlignment="1">
      <alignment horizontal="right" readingOrder="2"/>
    </xf>
    <xf numFmtId="164" fontId="3" fillId="0" borderId="0" xfId="1" applyFont="1" applyFill="1" applyAlignment="1">
      <alignment horizontal="center" vertical="center"/>
    </xf>
    <xf numFmtId="0" fontId="6" fillId="0" borderId="0" xfId="0" applyFont="1" applyAlignment="1">
      <alignment horizontal="right" readingOrder="2"/>
    </xf>
    <xf numFmtId="164" fontId="6" fillId="0" borderId="0" xfId="1" applyFont="1" applyFill="1" applyAlignment="1">
      <alignment horizontal="center" vertical="center"/>
    </xf>
    <xf numFmtId="0" fontId="6" fillId="0" borderId="0" xfId="0" applyFont="1" applyAlignment="1">
      <alignment horizontal="right" readingOrder="1"/>
    </xf>
    <xf numFmtId="0" fontId="4" fillId="0" borderId="0" xfId="0" applyFont="1" applyAlignment="1">
      <alignment horizontal="right" readingOrder="2"/>
    </xf>
    <xf numFmtId="164" fontId="7" fillId="0" borderId="0" xfId="1" applyFont="1" applyFill="1" applyAlignment="1">
      <alignment horizontal="center"/>
    </xf>
    <xf numFmtId="0" fontId="4" fillId="0" borderId="0" xfId="0" applyFont="1" applyAlignment="1">
      <alignment horizontal="right" readingOrder="1"/>
    </xf>
    <xf numFmtId="164" fontId="7" fillId="0" borderId="0" xfId="1" applyFont="1" applyFill="1"/>
    <xf numFmtId="2" fontId="8" fillId="0" borderId="0" xfId="0" applyNumberFormat="1" applyFont="1"/>
    <xf numFmtId="10" fontId="8" fillId="0" borderId="0" xfId="2" applyNumberFormat="1" applyFont="1" applyFill="1"/>
    <xf numFmtId="0" fontId="9" fillId="0" borderId="0" xfId="0" applyFont="1" applyAlignment="1">
      <alignment horizontal="right" readingOrder="2"/>
    </xf>
    <xf numFmtId="10" fontId="7" fillId="0" borderId="0" xfId="2" applyNumberFormat="1" applyFont="1" applyFill="1"/>
    <xf numFmtId="164" fontId="8" fillId="0" borderId="0" xfId="1" applyFont="1" applyFill="1"/>
    <xf numFmtId="164" fontId="10" fillId="0" borderId="0" xfId="1" applyFont="1" applyFill="1" applyAlignment="1">
      <alignment horizontal="center"/>
    </xf>
    <xf numFmtId="164" fontId="10" fillId="0" borderId="0" xfId="1" applyFont="1" applyFill="1"/>
    <xf numFmtId="2" fontId="4" fillId="0" borderId="0" xfId="0" applyNumberFormat="1" applyFont="1"/>
    <xf numFmtId="10" fontId="4" fillId="0" borderId="0" xfId="2" applyNumberFormat="1" applyFont="1" applyFill="1"/>
    <xf numFmtId="10" fontId="10" fillId="0" borderId="0" xfId="2" applyNumberFormat="1" applyFont="1" applyFill="1"/>
    <xf numFmtId="0" fontId="11" fillId="0" borderId="0" xfId="0" applyFont="1" applyAlignment="1">
      <alignment horizontal="right" readingOrder="1"/>
    </xf>
    <xf numFmtId="0" fontId="11" fillId="0" borderId="0" xfId="0" applyFont="1"/>
    <xf numFmtId="164" fontId="11" fillId="0" borderId="0" xfId="1" applyFont="1" applyFill="1"/>
    <xf numFmtId="0" fontId="12" fillId="0" borderId="0" xfId="0" applyFont="1" applyAlignment="1">
      <alignment horizontal="right" readingOrder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right" readingOrder="2"/>
    </xf>
    <xf numFmtId="164" fontId="12" fillId="0" borderId="0" xfId="1" applyFont="1" applyFill="1" applyAlignment="1">
      <alignment horizontal="center" vertical="center"/>
    </xf>
    <xf numFmtId="0" fontId="13" fillId="0" borderId="0" xfId="0" applyFont="1" applyAlignment="1">
      <alignment horizontal="right" readingOrder="2"/>
    </xf>
    <xf numFmtId="0" fontId="14" fillId="0" borderId="0" xfId="0" applyFont="1" applyAlignment="1">
      <alignment vertical="center"/>
    </xf>
    <xf numFmtId="164" fontId="13" fillId="0" borderId="0" xfId="1" applyFont="1" applyFill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right" readingOrder="1"/>
    </xf>
    <xf numFmtId="164" fontId="14" fillId="0" borderId="0" xfId="1" applyFont="1" applyFill="1"/>
    <xf numFmtId="0" fontId="14" fillId="0" borderId="0" xfId="0" applyFont="1" applyAlignment="1">
      <alignment horizontal="right" readingOrder="2"/>
    </xf>
    <xf numFmtId="0" fontId="14" fillId="0" borderId="0" xfId="0" applyFont="1" applyAlignment="1">
      <alignment horizontal="right" readingOrder="1"/>
    </xf>
    <xf numFmtId="0" fontId="13" fillId="0" borderId="0" xfId="0" applyFont="1"/>
    <xf numFmtId="0" fontId="15" fillId="0" borderId="0" xfId="0" applyFont="1"/>
    <xf numFmtId="0" fontId="16" fillId="0" borderId="0" xfId="0" applyFont="1" applyAlignment="1">
      <alignment horizontal="right" readingOrder="2"/>
    </xf>
    <xf numFmtId="0" fontId="10" fillId="0" borderId="0" xfId="0" applyFont="1" applyAlignment="1">
      <alignment horizontal="right"/>
    </xf>
    <xf numFmtId="164" fontId="10" fillId="0" borderId="0" xfId="1" applyFont="1"/>
    <xf numFmtId="0" fontId="10" fillId="0" borderId="0" xfId="0" applyFont="1"/>
    <xf numFmtId="0" fontId="3" fillId="0" borderId="0" xfId="0" applyFont="1"/>
    <xf numFmtId="0" fontId="10" fillId="0" borderId="0" xfId="0" applyFont="1" applyAlignment="1">
      <alignment horizontal="right" vertical="center"/>
    </xf>
    <xf numFmtId="164" fontId="10" fillId="0" borderId="0" xfId="1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0" borderId="0" xfId="0" applyFont="1"/>
    <xf numFmtId="164" fontId="10" fillId="0" borderId="0" xfId="1" applyFont="1" applyAlignment="1">
      <alignment horizontal="right" vertical="center" readingOrder="2"/>
    </xf>
    <xf numFmtId="0" fontId="17" fillId="0" borderId="0" xfId="0" applyFont="1"/>
    <xf numFmtId="164" fontId="6" fillId="0" borderId="0" xfId="1" applyFont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64" fontId="9" fillId="0" borderId="0" xfId="1" applyFont="1"/>
    <xf numFmtId="164" fontId="4" fillId="0" borderId="0" xfId="1" applyFont="1"/>
    <xf numFmtId="0" fontId="10" fillId="0" borderId="0" xfId="0" applyFont="1" applyAlignment="1">
      <alignment horizontal="center"/>
    </xf>
    <xf numFmtId="43" fontId="10" fillId="0" borderId="0" xfId="0" applyNumberFormat="1" applyFont="1"/>
    <xf numFmtId="164" fontId="13" fillId="0" borderId="0" xfId="1" applyFont="1"/>
    <xf numFmtId="164" fontId="13" fillId="0" borderId="0" xfId="1" applyFont="1" applyFill="1"/>
    <xf numFmtId="164" fontId="14" fillId="0" borderId="0" xfId="1" applyFont="1"/>
    <xf numFmtId="164" fontId="6" fillId="0" borderId="0" xfId="1" applyFont="1"/>
    <xf numFmtId="0" fontId="13" fillId="0" borderId="0" xfId="0" applyFont="1" applyAlignment="1">
      <alignment horizontal="right"/>
    </xf>
    <xf numFmtId="164" fontId="6" fillId="0" borderId="0" xfId="1" applyFont="1" applyFill="1"/>
    <xf numFmtId="0" fontId="13" fillId="2" borderId="0" xfId="0" applyFont="1" applyFill="1" applyAlignment="1">
      <alignment horizontal="right"/>
    </xf>
    <xf numFmtId="164" fontId="13" fillId="2" borderId="0" xfId="1" applyFont="1" applyFill="1"/>
    <xf numFmtId="0" fontId="16" fillId="0" borderId="0" xfId="0" applyFont="1" applyAlignment="1">
      <alignment horizontal="center"/>
    </xf>
    <xf numFmtId="164" fontId="18" fillId="0" borderId="0" xfId="1" applyFont="1" applyFill="1"/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22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16" fillId="0" borderId="0" xfId="0" applyFont="1"/>
    <xf numFmtId="164" fontId="24" fillId="0" borderId="0" xfId="1" applyFont="1" applyFill="1"/>
    <xf numFmtId="0" fontId="23" fillId="0" borderId="0" xfId="0" applyFont="1"/>
    <xf numFmtId="14" fontId="24" fillId="0" borderId="1" xfId="1" quotePrefix="1" applyNumberFormat="1" applyFont="1" applyFill="1" applyBorder="1" applyAlignment="1">
      <alignment horizontal="right"/>
    </xf>
    <xf numFmtId="14" fontId="24" fillId="0" borderId="0" xfId="1" quotePrefix="1" applyNumberFormat="1" applyFont="1" applyFill="1" applyBorder="1" applyAlignment="1">
      <alignment horizontal="right"/>
    </xf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165" fontId="24" fillId="0" borderId="0" xfId="1" applyNumberFormat="1" applyFont="1" applyFill="1" applyAlignment="1">
      <alignment horizontal="center" vertical="center"/>
    </xf>
    <xf numFmtId="0" fontId="28" fillId="0" borderId="0" xfId="0" applyFont="1" applyAlignment="1">
      <alignment horizontal="right" vertical="center"/>
    </xf>
    <xf numFmtId="0" fontId="29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13" fillId="0" borderId="0" xfId="0" applyFont="1" applyAlignment="1">
      <alignment horizontal="right" vertical="center"/>
    </xf>
    <xf numFmtId="164" fontId="22" fillId="0" borderId="0" xfId="1" applyFont="1" applyFill="1" applyAlignment="1">
      <alignment horizontal="center" vertical="center"/>
    </xf>
    <xf numFmtId="0" fontId="23" fillId="0" borderId="0" xfId="0" applyFont="1" applyAlignment="1">
      <alignment horizontal="left"/>
    </xf>
    <xf numFmtId="164" fontId="24" fillId="0" borderId="0" xfId="1" applyFont="1" applyFill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31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164" fontId="22" fillId="0" borderId="0" xfId="1" applyFont="1" applyFill="1" applyAlignment="1">
      <alignment horizontal="right" vertical="center"/>
    </xf>
    <xf numFmtId="164" fontId="22" fillId="0" borderId="0" xfId="1" applyFont="1" applyFill="1" applyBorder="1" applyAlignment="1">
      <alignment horizontal="right" vertical="center"/>
    </xf>
    <xf numFmtId="164" fontId="24" fillId="0" borderId="0" xfId="0" applyNumberFormat="1" applyFont="1" applyAlignment="1">
      <alignment horizontal="center" vertical="center"/>
    </xf>
    <xf numFmtId="164" fontId="22" fillId="0" borderId="0" xfId="1" applyFont="1" applyFill="1"/>
    <xf numFmtId="0" fontId="33" fillId="0" borderId="0" xfId="0" applyFont="1" applyAlignment="1">
      <alignment horizontal="right" vertical="center"/>
    </xf>
    <xf numFmtId="164" fontId="33" fillId="0" borderId="0" xfId="1" applyFont="1" applyAlignment="1">
      <alignment horizontal="center" vertical="center"/>
    </xf>
    <xf numFmtId="164" fontId="33" fillId="0" borderId="0" xfId="1" applyFont="1" applyFill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165" fontId="16" fillId="0" borderId="0" xfId="1" applyNumberFormat="1" applyFont="1"/>
    <xf numFmtId="165" fontId="16" fillId="0" borderId="0" xfId="1" applyNumberFormat="1" applyFont="1" applyFill="1"/>
    <xf numFmtId="165" fontId="13" fillId="0" borderId="0" xfId="1" applyNumberFormat="1" applyFont="1"/>
    <xf numFmtId="0" fontId="35" fillId="0" borderId="0" xfId="0" applyFont="1" applyAlignment="1">
      <alignment horizontal="right" vertical="top" wrapText="1"/>
    </xf>
    <xf numFmtId="0" fontId="36" fillId="0" borderId="0" xfId="0" applyFont="1" applyAlignment="1">
      <alignment horizontal="right" vertical="top" wrapText="1"/>
    </xf>
    <xf numFmtId="14" fontId="21" fillId="0" borderId="0" xfId="0" applyNumberFormat="1" applyFont="1"/>
    <xf numFmtId="0" fontId="31" fillId="0" borderId="0" xfId="0" applyFont="1"/>
    <xf numFmtId="166" fontId="27" fillId="0" borderId="0" xfId="1" applyNumberFormat="1" applyFont="1" applyFill="1" applyBorder="1"/>
    <xf numFmtId="0" fontId="37" fillId="0" borderId="0" xfId="0" applyFont="1"/>
    <xf numFmtId="164" fontId="24" fillId="0" borderId="0" xfId="1" applyFont="1" applyFill="1" applyBorder="1"/>
    <xf numFmtId="14" fontId="38" fillId="0" borderId="0" xfId="0" applyNumberFormat="1" applyFont="1"/>
    <xf numFmtId="0" fontId="39" fillId="0" borderId="0" xfId="0" applyFont="1"/>
    <xf numFmtId="165" fontId="24" fillId="0" borderId="0" xfId="1" applyNumberFormat="1" applyFont="1" applyFill="1" applyBorder="1" applyAlignment="1">
      <alignment horizontal="center" vertical="center"/>
    </xf>
    <xf numFmtId="165" fontId="22" fillId="0" borderId="0" xfId="1" applyNumberFormat="1" applyFont="1" applyFill="1" applyBorder="1" applyAlignment="1">
      <alignment horizontal="center" vertical="center"/>
    </xf>
    <xf numFmtId="164" fontId="24" fillId="0" borderId="0" xfId="1" applyFont="1" applyFill="1" applyBorder="1" applyAlignment="1">
      <alignment horizontal="center" vertical="center"/>
    </xf>
    <xf numFmtId="165" fontId="22" fillId="0" borderId="0" xfId="1" applyNumberFormat="1" applyFont="1" applyFill="1" applyBorder="1" applyAlignment="1">
      <alignment horizontal="right" vertical="center"/>
    </xf>
    <xf numFmtId="43" fontId="30" fillId="0" borderId="0" xfId="0" applyNumberFormat="1" applyFont="1"/>
    <xf numFmtId="0" fontId="30" fillId="0" borderId="0" xfId="0" applyFont="1"/>
    <xf numFmtId="43" fontId="0" fillId="0" borderId="0" xfId="0" applyNumberFormat="1"/>
    <xf numFmtId="0" fontId="34" fillId="3" borderId="0" xfId="0" applyFont="1" applyFill="1" applyAlignment="1">
      <alignment horizontal="right" vertical="center" wrapText="1"/>
    </xf>
    <xf numFmtId="0" fontId="9" fillId="0" borderId="0" xfId="0" applyFont="1"/>
    <xf numFmtId="165" fontId="9" fillId="0" borderId="0" xfId="1" applyNumberFormat="1" applyFont="1" applyFill="1"/>
    <xf numFmtId="165" fontId="9" fillId="0" borderId="0" xfId="0" applyNumberFormat="1" applyFont="1"/>
    <xf numFmtId="165" fontId="4" fillId="0" borderId="0" xfId="1" applyNumberFormat="1" applyFont="1" applyFill="1"/>
    <xf numFmtId="165" fontId="6" fillId="0" borderId="0" xfId="1" applyNumberFormat="1" applyFont="1" applyFill="1"/>
    <xf numFmtId="10" fontId="9" fillId="0" borderId="0" xfId="2" applyNumberFormat="1" applyFont="1" applyFill="1"/>
    <xf numFmtId="165" fontId="4" fillId="0" borderId="0" xfId="1" applyNumberFormat="1" applyFont="1" applyFill="1" applyBorder="1"/>
    <xf numFmtId="164" fontId="9" fillId="0" borderId="0" xfId="1" applyFont="1" applyFill="1"/>
  </cellXfs>
  <cellStyles count="4">
    <cellStyle name="Comma" xfId="1" builtinId="3"/>
    <cellStyle name="Comma 2" xfId="3" xr:uid="{9D1D3E59-C688-4807-898E-8C192067BC48}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2018D-890C-4FD2-9E36-5D04E832FC8B}">
  <sheetPr>
    <tabColor rgb="FF002060"/>
  </sheetPr>
  <dimension ref="A1:E71"/>
  <sheetViews>
    <sheetView showGridLines="0" rightToLeft="1" tabSelected="1" zoomScale="90" zoomScaleNormal="90" zoomScaleSheetLayoutView="90" workbookViewId="0">
      <pane ySplit="4" topLeftCell="A5" activePane="bottomLeft" state="frozen"/>
      <selection activeCell="C154" sqref="C154"/>
      <selection pane="bottomLeft" activeCell="C1" sqref="C1"/>
    </sheetView>
  </sheetViews>
  <sheetFormatPr defaultColWidth="9.09765625" defaultRowHeight="14.4" x14ac:dyDescent="0.3"/>
  <cols>
    <col min="1" max="1" width="2.69921875" style="6" customWidth="1"/>
    <col min="2" max="2" width="5.69921875" style="15" customWidth="1"/>
    <col min="3" max="3" width="91.3984375" style="6" customWidth="1"/>
    <col min="4" max="4" width="12.59765625" style="5" bestFit="1" customWidth="1"/>
    <col min="5" max="5" width="24.09765625" style="6" customWidth="1"/>
    <col min="6" max="16384" width="9.09765625" style="6"/>
  </cols>
  <sheetData>
    <row r="1" spans="1:5" x14ac:dyDescent="0.3">
      <c r="A1" s="6" t="s">
        <v>0</v>
      </c>
    </row>
    <row r="2" spans="1:5" ht="18" customHeight="1" x14ac:dyDescent="0.35">
      <c r="B2" s="3" t="s">
        <v>242</v>
      </c>
      <c r="C2" s="4"/>
    </row>
    <row r="3" spans="1:5" ht="18" customHeight="1" x14ac:dyDescent="0.35">
      <c r="B3" s="7"/>
    </row>
    <row r="4" spans="1:5" ht="18" customHeight="1" x14ac:dyDescent="0.35">
      <c r="B4" s="8" t="s">
        <v>1</v>
      </c>
      <c r="C4" s="4"/>
      <c r="D4" s="9" t="s">
        <v>2</v>
      </c>
    </row>
    <row r="5" spans="1:5" ht="18" customHeight="1" x14ac:dyDescent="0.3">
      <c r="B5" s="10"/>
      <c r="C5" s="4"/>
      <c r="D5" s="11"/>
    </row>
    <row r="6" spans="1:5" ht="18" customHeight="1" x14ac:dyDescent="0.3">
      <c r="B6" s="12" t="s">
        <v>3</v>
      </c>
    </row>
    <row r="7" spans="1:5" ht="18" customHeight="1" x14ac:dyDescent="0.3">
      <c r="B7" s="19" t="s">
        <v>4</v>
      </c>
      <c r="C7" s="128"/>
      <c r="D7" s="129">
        <f>SUM(D8:D9)</f>
        <v>414.63005967999999</v>
      </c>
      <c r="E7" s="130"/>
    </row>
    <row r="8" spans="1:5" ht="18" customHeight="1" x14ac:dyDescent="0.3">
      <c r="C8" s="6" t="s">
        <v>5</v>
      </c>
      <c r="D8" s="131">
        <v>27.735379499999997</v>
      </c>
      <c r="E8" s="131"/>
    </row>
    <row r="9" spans="1:5" ht="18" customHeight="1" x14ac:dyDescent="0.3">
      <c r="C9" s="6" t="s">
        <v>6</v>
      </c>
      <c r="D9" s="131">
        <v>386.89468017999997</v>
      </c>
      <c r="E9" s="131"/>
    </row>
    <row r="10" spans="1:5" ht="18" customHeight="1" x14ac:dyDescent="0.3">
      <c r="D10" s="131"/>
      <c r="E10" s="131"/>
    </row>
    <row r="11" spans="1:5" ht="18" customHeight="1" x14ac:dyDescent="0.3">
      <c r="B11" s="19" t="s">
        <v>7</v>
      </c>
      <c r="C11" s="128"/>
      <c r="D11" s="129">
        <f>SUM(D13)</f>
        <v>7.51145</v>
      </c>
      <c r="E11" s="129"/>
    </row>
    <row r="12" spans="1:5" ht="18" customHeight="1" x14ac:dyDescent="0.3">
      <c r="C12" s="15" t="s">
        <v>8</v>
      </c>
      <c r="D12" s="131">
        <v>0</v>
      </c>
      <c r="E12" s="131"/>
    </row>
    <row r="13" spans="1:5" ht="18" customHeight="1" x14ac:dyDescent="0.3">
      <c r="C13" s="15" t="s">
        <v>9</v>
      </c>
      <c r="D13" s="131">
        <v>7.51145</v>
      </c>
      <c r="E13" s="131"/>
    </row>
    <row r="14" spans="1:5" ht="18" customHeight="1" x14ac:dyDescent="0.3">
      <c r="C14" s="15"/>
      <c r="D14" s="131"/>
      <c r="E14" s="131"/>
    </row>
    <row r="15" spans="1:5" ht="18" customHeight="1" x14ac:dyDescent="0.3">
      <c r="B15" s="19" t="s">
        <v>10</v>
      </c>
      <c r="C15" s="128"/>
      <c r="D15" s="129">
        <f>SUM(D16:D17)</f>
        <v>5.85</v>
      </c>
      <c r="E15" s="129"/>
    </row>
    <row r="16" spans="1:5" ht="18" customHeight="1" x14ac:dyDescent="0.3">
      <c r="C16" s="15" t="s">
        <v>11</v>
      </c>
      <c r="D16" s="131">
        <v>0</v>
      </c>
      <c r="E16" s="131"/>
    </row>
    <row r="17" spans="2:5" ht="18" customHeight="1" x14ac:dyDescent="0.3">
      <c r="C17" s="15" t="s">
        <v>12</v>
      </c>
      <c r="D17" s="131">
        <v>5.85</v>
      </c>
      <c r="E17" s="131"/>
    </row>
    <row r="18" spans="2:5" ht="18" customHeight="1" x14ac:dyDescent="0.3">
      <c r="D18" s="131"/>
      <c r="E18" s="131"/>
    </row>
    <row r="19" spans="2:5" ht="18" customHeight="1" x14ac:dyDescent="0.3">
      <c r="B19" s="19" t="s">
        <v>13</v>
      </c>
      <c r="C19" s="128"/>
      <c r="D19" s="129">
        <v>897.654</v>
      </c>
      <c r="E19" s="129"/>
    </row>
    <row r="20" spans="2:5" ht="18" customHeight="1" x14ac:dyDescent="0.3">
      <c r="B20" s="13"/>
      <c r="D20" s="131"/>
      <c r="E20" s="131"/>
    </row>
    <row r="21" spans="2:5" ht="18" customHeight="1" x14ac:dyDescent="0.3">
      <c r="B21" s="13" t="s">
        <v>14</v>
      </c>
      <c r="D21" s="131">
        <v>0</v>
      </c>
      <c r="E21" s="131"/>
    </row>
    <row r="22" spans="2:5" ht="18" customHeight="1" x14ac:dyDescent="0.3">
      <c r="B22" s="13"/>
      <c r="D22" s="131"/>
      <c r="E22" s="131"/>
    </row>
    <row r="23" spans="2:5" ht="18" customHeight="1" x14ac:dyDescent="0.3">
      <c r="B23" s="13" t="s">
        <v>15</v>
      </c>
      <c r="D23" s="131">
        <v>0</v>
      </c>
      <c r="E23" s="131"/>
    </row>
    <row r="24" spans="2:5" ht="18" customHeight="1" x14ac:dyDescent="0.3">
      <c r="B24" s="13"/>
      <c r="D24" s="131"/>
      <c r="E24" s="131"/>
    </row>
    <row r="25" spans="2:5" ht="18" customHeight="1" x14ac:dyDescent="0.3">
      <c r="B25" s="10" t="s">
        <v>239</v>
      </c>
      <c r="C25" s="54"/>
      <c r="D25" s="129">
        <f>D7+D11+D15+D19</f>
        <v>1325.64550968</v>
      </c>
      <c r="E25" s="132"/>
    </row>
    <row r="26" spans="2:5" ht="18" customHeight="1" x14ac:dyDescent="0.3">
      <c r="B26" s="13"/>
      <c r="D26" s="131"/>
      <c r="E26" s="131"/>
    </row>
    <row r="27" spans="2:5" ht="18" customHeight="1" x14ac:dyDescent="0.3">
      <c r="B27" s="13" t="s">
        <v>16</v>
      </c>
      <c r="D27" s="131">
        <f>AVERAGE(D28:D29)</f>
        <v>1998572.147805</v>
      </c>
      <c r="E27" s="131"/>
    </row>
    <row r="28" spans="2:5" ht="18" customHeight="1" x14ac:dyDescent="0.3">
      <c r="C28" s="6" t="s">
        <v>17</v>
      </c>
      <c r="D28" s="131">
        <v>2069503.0842199998</v>
      </c>
      <c r="E28" s="131"/>
    </row>
    <row r="29" spans="2:5" ht="18" customHeight="1" x14ac:dyDescent="0.3">
      <c r="C29" s="6" t="s">
        <v>18</v>
      </c>
      <c r="D29" s="131">
        <v>1927641.2113900001</v>
      </c>
      <c r="E29" s="131"/>
    </row>
    <row r="30" spans="2:5" ht="18" customHeight="1" x14ac:dyDescent="0.3">
      <c r="E30" s="5"/>
    </row>
    <row r="31" spans="2:5" ht="18" customHeight="1" x14ac:dyDescent="0.3">
      <c r="B31" s="19" t="s">
        <v>19</v>
      </c>
      <c r="C31" s="128"/>
      <c r="D31" s="133">
        <f>D25/D27</f>
        <v>6.6329629937850155E-4</v>
      </c>
      <c r="E31" s="133"/>
    </row>
    <row r="32" spans="2:5" ht="18" customHeight="1" x14ac:dyDescent="0.3">
      <c r="B32" s="13"/>
      <c r="E32" s="5"/>
    </row>
    <row r="33" spans="2:5" ht="18" customHeight="1" x14ac:dyDescent="0.3">
      <c r="B33" s="10" t="s">
        <v>20</v>
      </c>
      <c r="E33" s="5"/>
    </row>
    <row r="34" spans="2:5" ht="18" customHeight="1" x14ac:dyDescent="0.3">
      <c r="B34" s="13" t="s">
        <v>21</v>
      </c>
      <c r="D34" s="5">
        <v>4619.2457762000004</v>
      </c>
      <c r="E34" s="5"/>
    </row>
    <row r="35" spans="2:5" ht="18" customHeight="1" x14ac:dyDescent="0.3">
      <c r="B35" s="13"/>
      <c r="E35" s="5"/>
    </row>
    <row r="36" spans="2:5" ht="18" customHeight="1" x14ac:dyDescent="0.3">
      <c r="B36" s="19" t="s">
        <v>20</v>
      </c>
      <c r="E36" s="5"/>
    </row>
    <row r="37" spans="2:5" ht="18" customHeight="1" x14ac:dyDescent="0.3">
      <c r="B37" s="19" t="s">
        <v>22</v>
      </c>
      <c r="D37" s="129">
        <f>SUM(D38:D50)</f>
        <v>3973.9202091179995</v>
      </c>
      <c r="E37" s="129"/>
    </row>
    <row r="38" spans="2:5" ht="18" customHeight="1" x14ac:dyDescent="0.3">
      <c r="C38" s="13" t="s">
        <v>23</v>
      </c>
      <c r="D38" s="131">
        <v>1755.6295076999997</v>
      </c>
      <c r="E38" s="131"/>
    </row>
    <row r="39" spans="2:5" ht="18" customHeight="1" x14ac:dyDescent="0.3">
      <c r="C39" s="13" t="s">
        <v>24</v>
      </c>
      <c r="D39" s="131">
        <v>1629.7303840279997</v>
      </c>
      <c r="E39" s="131"/>
    </row>
    <row r="40" spans="2:5" ht="18" customHeight="1" x14ac:dyDescent="0.3">
      <c r="C40" s="13" t="s">
        <v>25</v>
      </c>
      <c r="D40" s="131">
        <v>0</v>
      </c>
      <c r="E40" s="131"/>
    </row>
    <row r="41" spans="2:5" ht="18" customHeight="1" x14ac:dyDescent="0.3">
      <c r="C41" s="13" t="s">
        <v>26</v>
      </c>
      <c r="D41" s="131">
        <v>0</v>
      </c>
      <c r="E41" s="131"/>
    </row>
    <row r="42" spans="2:5" ht="18" customHeight="1" x14ac:dyDescent="0.3">
      <c r="C42" s="13" t="s">
        <v>27</v>
      </c>
      <c r="D42" s="131">
        <v>16.129280859999998</v>
      </c>
      <c r="E42" s="131"/>
    </row>
    <row r="43" spans="2:5" ht="18" customHeight="1" x14ac:dyDescent="0.3">
      <c r="C43" s="13" t="s">
        <v>28</v>
      </c>
      <c r="D43" s="131">
        <v>0</v>
      </c>
      <c r="E43" s="131"/>
    </row>
    <row r="44" spans="2:5" ht="18" customHeight="1" x14ac:dyDescent="0.3">
      <c r="C44" s="13" t="s">
        <v>29</v>
      </c>
      <c r="D44" s="131">
        <v>381.15612534799976</v>
      </c>
      <c r="E44" s="131"/>
    </row>
    <row r="45" spans="2:5" ht="18" hidden="1" customHeight="1" x14ac:dyDescent="0.3">
      <c r="C45" s="13" t="s">
        <v>30</v>
      </c>
      <c r="D45" s="131"/>
      <c r="E45" s="131"/>
    </row>
    <row r="46" spans="2:5" ht="18" customHeight="1" x14ac:dyDescent="0.3">
      <c r="C46" s="6" t="s">
        <v>31</v>
      </c>
      <c r="D46" s="134">
        <v>0.97418186799999995</v>
      </c>
      <c r="E46" s="134"/>
    </row>
    <row r="47" spans="2:5" ht="18" customHeight="1" x14ac:dyDescent="0.3">
      <c r="C47" s="6" t="s">
        <v>32</v>
      </c>
      <c r="D47" s="131">
        <v>0</v>
      </c>
      <c r="E47" s="131"/>
    </row>
    <row r="48" spans="2:5" ht="18" customHeight="1" x14ac:dyDescent="0.3">
      <c r="C48" s="6" t="s">
        <v>33</v>
      </c>
      <c r="D48" s="131">
        <v>185.25346044399998</v>
      </c>
      <c r="E48" s="131"/>
    </row>
    <row r="49" spans="2:5" ht="18" customHeight="1" x14ac:dyDescent="0.3">
      <c r="C49" s="6" t="s">
        <v>32</v>
      </c>
      <c r="D49" s="131">
        <v>0</v>
      </c>
      <c r="E49" s="131"/>
    </row>
    <row r="50" spans="2:5" ht="18" customHeight="1" x14ac:dyDescent="0.3">
      <c r="C50" s="6" t="s">
        <v>34</v>
      </c>
      <c r="D50" s="131">
        <v>5.0472688699999946</v>
      </c>
      <c r="E50" s="131"/>
    </row>
    <row r="51" spans="2:5" ht="18" customHeight="1" x14ac:dyDescent="0.3">
      <c r="E51" s="5"/>
    </row>
    <row r="52" spans="2:5" ht="18" customHeight="1" x14ac:dyDescent="0.3">
      <c r="B52" s="13" t="s">
        <v>35</v>
      </c>
      <c r="D52" s="25">
        <f>D37/D29</f>
        <v>2.0615455747869443E-3</v>
      </c>
      <c r="E52" s="5"/>
    </row>
    <row r="53" spans="2:5" ht="18" customHeight="1" x14ac:dyDescent="0.3">
      <c r="B53" s="13" t="s">
        <v>36</v>
      </c>
      <c r="D53" s="25"/>
      <c r="E53" s="5"/>
    </row>
    <row r="54" spans="2:5" ht="18" customHeight="1" x14ac:dyDescent="0.3">
      <c r="B54" s="13" t="s">
        <v>37</v>
      </c>
      <c r="D54" s="25"/>
      <c r="E54" s="5"/>
    </row>
    <row r="55" spans="2:5" ht="18" customHeight="1" x14ac:dyDescent="0.3">
      <c r="B55" s="13"/>
      <c r="E55" s="5"/>
    </row>
    <row r="56" spans="2:5" ht="18" customHeight="1" x14ac:dyDescent="0.3">
      <c r="B56" s="13" t="s">
        <v>38</v>
      </c>
      <c r="E56" s="5"/>
    </row>
    <row r="57" spans="2:5" ht="18" customHeight="1" x14ac:dyDescent="0.3">
      <c r="B57" s="13" t="s">
        <v>62</v>
      </c>
      <c r="D57" s="25">
        <f>(D37-D56)/D29</f>
        <v>2.0615455747869443E-3</v>
      </c>
      <c r="E57" s="25"/>
    </row>
    <row r="58" spans="2:5" ht="18" customHeight="1" x14ac:dyDescent="0.3">
      <c r="B58" s="13"/>
      <c r="E58" s="5"/>
    </row>
    <row r="59" spans="2:5" ht="18" customHeight="1" x14ac:dyDescent="0.3">
      <c r="B59" s="19" t="s">
        <v>40</v>
      </c>
      <c r="E59" s="5"/>
    </row>
    <row r="60" spans="2:5" ht="18" customHeight="1" x14ac:dyDescent="0.3">
      <c r="B60" s="13" t="s">
        <v>41</v>
      </c>
      <c r="D60" s="131">
        <f>D25+D37-D56</f>
        <v>5299.5657187979996</v>
      </c>
      <c r="E60" s="5"/>
    </row>
    <row r="61" spans="2:5" ht="18" hidden="1" customHeight="1" x14ac:dyDescent="0.3">
      <c r="B61" s="13"/>
      <c r="E61" s="5"/>
    </row>
    <row r="62" spans="2:5" ht="18" customHeight="1" x14ac:dyDescent="0.3">
      <c r="B62" s="13" t="s">
        <v>42</v>
      </c>
      <c r="D62" s="25">
        <f>D60/D27</f>
        <v>2.6516759600690065E-3</v>
      </c>
      <c r="E62" s="5"/>
    </row>
    <row r="63" spans="2:5" ht="18" customHeight="1" x14ac:dyDescent="0.3">
      <c r="B63" s="13"/>
      <c r="E63" s="5"/>
    </row>
    <row r="64" spans="2:5" ht="18" customHeight="1" x14ac:dyDescent="0.3">
      <c r="B64" s="19" t="s">
        <v>43</v>
      </c>
      <c r="E64" s="5"/>
    </row>
    <row r="65" spans="1:5" ht="18" customHeight="1" x14ac:dyDescent="0.3">
      <c r="B65" s="19" t="s">
        <v>240</v>
      </c>
      <c r="C65" s="128"/>
      <c r="D65" s="133"/>
      <c r="E65" s="135"/>
    </row>
    <row r="66" spans="1:5" ht="18" customHeight="1" x14ac:dyDescent="0.3">
      <c r="B66" s="19" t="s">
        <v>44</v>
      </c>
      <c r="E66" s="5"/>
    </row>
    <row r="67" spans="1:5" ht="18" customHeight="1" x14ac:dyDescent="0.3">
      <c r="B67" s="13" t="s">
        <v>45</v>
      </c>
      <c r="D67" s="25"/>
      <c r="E67" s="5"/>
    </row>
    <row r="69" spans="1:5" x14ac:dyDescent="0.3">
      <c r="A69" s="6" t="s">
        <v>46</v>
      </c>
      <c r="B69" s="13" t="s">
        <v>47</v>
      </c>
      <c r="D69" s="6"/>
    </row>
    <row r="70" spans="1:5" x14ac:dyDescent="0.3">
      <c r="B70" s="13" t="s">
        <v>241</v>
      </c>
    </row>
    <row r="71" spans="1:5" x14ac:dyDescent="0.3">
      <c r="B71" s="6"/>
    </row>
  </sheetData>
  <pageMargins left="0.7" right="0.7" top="0.75" bottom="0.75" header="0.3" footer="0.3"/>
  <pageSetup paperSize="9" scale="55" orientation="landscape" r:id="rId1"/>
  <rowBreaks count="1" manualBreakCount="1">
    <brk id="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EB5F7-643A-46FF-8D39-E4F0F3F1EC5A}">
  <sheetPr>
    <tabColor rgb="FF002060"/>
  </sheetPr>
  <dimension ref="B2:D67"/>
  <sheetViews>
    <sheetView showGridLines="0" rightToLeft="1" zoomScale="90" zoomScaleNormal="90" workbookViewId="0"/>
  </sheetViews>
  <sheetFormatPr defaultColWidth="9.09765625" defaultRowHeight="14.4" x14ac:dyDescent="0.3"/>
  <cols>
    <col min="1" max="1" width="2.69921875" style="6" customWidth="1"/>
    <col min="2" max="2" width="5.69921875" style="15" customWidth="1"/>
    <col min="3" max="3" width="89" style="6" customWidth="1"/>
    <col min="4" max="4" width="12.59765625" style="5" bestFit="1" customWidth="1"/>
    <col min="5" max="5" width="10.5" style="6" bestFit="1" customWidth="1"/>
    <col min="6" max="16384" width="9.09765625" style="6"/>
  </cols>
  <sheetData>
    <row r="2" spans="2:4" ht="18" customHeight="1" x14ac:dyDescent="0.35">
      <c r="B2" s="3" t="s">
        <v>48</v>
      </c>
      <c r="C2" s="4"/>
    </row>
    <row r="3" spans="2:4" ht="18" customHeight="1" x14ac:dyDescent="0.35">
      <c r="B3" s="7"/>
    </row>
    <row r="4" spans="2:4" ht="18" customHeight="1" x14ac:dyDescent="0.35">
      <c r="B4" s="8" t="s">
        <v>1</v>
      </c>
      <c r="C4" s="4"/>
      <c r="D4" s="9" t="s">
        <v>2</v>
      </c>
    </row>
    <row r="5" spans="2:4" ht="18" customHeight="1" x14ac:dyDescent="0.3">
      <c r="B5" s="10"/>
      <c r="C5" s="4"/>
      <c r="D5" s="11"/>
    </row>
    <row r="6" spans="2:4" ht="18" customHeight="1" x14ac:dyDescent="0.3">
      <c r="B6" s="12" t="s">
        <v>3</v>
      </c>
    </row>
    <row r="7" spans="2:4" ht="18" customHeight="1" x14ac:dyDescent="0.3">
      <c r="B7" s="13" t="s">
        <v>4</v>
      </c>
      <c r="D7" s="14">
        <f>SUM(D8:D9)</f>
        <v>332.82116281999998</v>
      </c>
    </row>
    <row r="8" spans="2:4" ht="18" customHeight="1" x14ac:dyDescent="0.3">
      <c r="C8" s="6" t="s">
        <v>5</v>
      </c>
      <c r="D8" s="16">
        <v>22.465162819999996</v>
      </c>
    </row>
    <row r="9" spans="2:4" ht="18" customHeight="1" x14ac:dyDescent="0.3">
      <c r="C9" s="6" t="s">
        <v>6</v>
      </c>
      <c r="D9" s="16">
        <v>310.35599999999999</v>
      </c>
    </row>
    <row r="10" spans="2:4" ht="18" customHeight="1" x14ac:dyDescent="0.3">
      <c r="D10" s="16"/>
    </row>
    <row r="11" spans="2:4" ht="18" customHeight="1" x14ac:dyDescent="0.3">
      <c r="B11" s="13" t="s">
        <v>7</v>
      </c>
      <c r="D11" s="14">
        <f>SUM(D12:D13)</f>
        <v>7.0997700000000004</v>
      </c>
    </row>
    <row r="12" spans="2:4" ht="18" customHeight="1" x14ac:dyDescent="0.3">
      <c r="C12" s="15" t="s">
        <v>8</v>
      </c>
      <c r="D12" s="16">
        <v>0</v>
      </c>
    </row>
    <row r="13" spans="2:4" ht="18" customHeight="1" x14ac:dyDescent="0.3">
      <c r="C13" s="15" t="s">
        <v>9</v>
      </c>
      <c r="D13" s="17">
        <v>7.0997700000000004</v>
      </c>
    </row>
    <row r="14" spans="2:4" ht="18" customHeight="1" x14ac:dyDescent="0.3">
      <c r="C14" s="15"/>
      <c r="D14" s="16"/>
    </row>
    <row r="15" spans="2:4" ht="18" customHeight="1" x14ac:dyDescent="0.3">
      <c r="B15" s="13" t="s">
        <v>10</v>
      </c>
      <c r="D15" s="14">
        <f>D17</f>
        <v>5.85</v>
      </c>
    </row>
    <row r="16" spans="2:4" ht="18" customHeight="1" x14ac:dyDescent="0.3">
      <c r="C16" s="15" t="s">
        <v>11</v>
      </c>
      <c r="D16" s="16">
        <v>0</v>
      </c>
    </row>
    <row r="17" spans="2:4" ht="18" customHeight="1" x14ac:dyDescent="0.3">
      <c r="C17" s="15" t="s">
        <v>12</v>
      </c>
      <c r="D17" s="16">
        <f>5000*1.17/1000</f>
        <v>5.85</v>
      </c>
    </row>
    <row r="18" spans="2:4" ht="18" customHeight="1" x14ac:dyDescent="0.3">
      <c r="D18" s="16"/>
    </row>
    <row r="19" spans="2:4" ht="18" customHeight="1" x14ac:dyDescent="0.3">
      <c r="B19" s="13" t="s">
        <v>13</v>
      </c>
      <c r="D19" s="16">
        <v>863.08199999999999</v>
      </c>
    </row>
    <row r="20" spans="2:4" ht="18" customHeight="1" x14ac:dyDescent="0.3">
      <c r="B20" s="13"/>
      <c r="D20" s="16"/>
    </row>
    <row r="21" spans="2:4" ht="18" customHeight="1" x14ac:dyDescent="0.3">
      <c r="B21" s="13" t="s">
        <v>14</v>
      </c>
      <c r="D21" s="16">
        <v>0</v>
      </c>
    </row>
    <row r="22" spans="2:4" ht="18" customHeight="1" x14ac:dyDescent="0.3">
      <c r="B22" s="13"/>
      <c r="D22" s="16"/>
    </row>
    <row r="23" spans="2:4" ht="18" customHeight="1" x14ac:dyDescent="0.3">
      <c r="B23" s="13" t="s">
        <v>15</v>
      </c>
      <c r="D23" s="16">
        <v>0</v>
      </c>
    </row>
    <row r="24" spans="2:4" ht="18" customHeight="1" x14ac:dyDescent="0.3">
      <c r="B24" s="13"/>
      <c r="D24" s="16"/>
    </row>
    <row r="25" spans="2:4" ht="18" customHeight="1" x14ac:dyDescent="0.3">
      <c r="B25" s="13" t="s">
        <v>49</v>
      </c>
      <c r="D25" s="16">
        <f>SUM(D7+D11+D15+D19+D21+D23)</f>
        <v>1208.85293282</v>
      </c>
    </row>
    <row r="26" spans="2:4" ht="18" customHeight="1" x14ac:dyDescent="0.3">
      <c r="B26" s="13"/>
      <c r="D26" s="16"/>
    </row>
    <row r="27" spans="2:4" ht="18" customHeight="1" x14ac:dyDescent="0.3">
      <c r="B27" s="13" t="s">
        <v>50</v>
      </c>
      <c r="D27" s="16">
        <f>(D28+D29)/2</f>
        <v>1808216.9868950001</v>
      </c>
    </row>
    <row r="28" spans="2:4" ht="18" customHeight="1" x14ac:dyDescent="0.3">
      <c r="C28" s="6" t="s">
        <v>17</v>
      </c>
      <c r="D28" s="16">
        <v>1861992.80122</v>
      </c>
    </row>
    <row r="29" spans="2:4" ht="18" customHeight="1" x14ac:dyDescent="0.3">
      <c r="C29" s="6" t="s">
        <v>18</v>
      </c>
      <c r="D29" s="16">
        <v>1754441.1725699999</v>
      </c>
    </row>
    <row r="30" spans="2:4" ht="18" customHeight="1" x14ac:dyDescent="0.3">
      <c r="D30" s="16"/>
    </row>
    <row r="31" spans="2:4" ht="18" customHeight="1" x14ac:dyDescent="0.3">
      <c r="B31" s="13" t="s">
        <v>19</v>
      </c>
      <c r="D31" s="18">
        <f>IFERROR(D25/D27,0)</f>
        <v>6.6853311388020704E-4</v>
      </c>
    </row>
    <row r="32" spans="2:4" ht="18" customHeight="1" x14ac:dyDescent="0.3">
      <c r="B32" s="13"/>
      <c r="D32" s="16"/>
    </row>
    <row r="33" spans="2:4" ht="18" customHeight="1" x14ac:dyDescent="0.3">
      <c r="B33" s="10" t="s">
        <v>20</v>
      </c>
      <c r="D33" s="16"/>
    </row>
    <row r="34" spans="2:4" ht="18" customHeight="1" x14ac:dyDescent="0.3">
      <c r="B34" s="13" t="s">
        <v>21</v>
      </c>
      <c r="D34" s="16">
        <f>'נספח 3'!C154-'לבני 60 ומעלה'!D34</f>
        <v>4002.9457762000002</v>
      </c>
    </row>
    <row r="35" spans="2:4" ht="18" customHeight="1" x14ac:dyDescent="0.3">
      <c r="B35" s="13"/>
      <c r="D35" s="16"/>
    </row>
    <row r="36" spans="2:4" ht="18" customHeight="1" x14ac:dyDescent="0.3">
      <c r="B36" s="19" t="s">
        <v>20</v>
      </c>
      <c r="D36" s="16"/>
    </row>
    <row r="37" spans="2:4" ht="18" customHeight="1" x14ac:dyDescent="0.3">
      <c r="B37" s="13" t="s">
        <v>22</v>
      </c>
      <c r="D37" s="16">
        <f>SUM(D38:D50)</f>
        <v>3953.707682167742</v>
      </c>
    </row>
    <row r="38" spans="2:4" ht="18" customHeight="1" x14ac:dyDescent="0.3">
      <c r="C38" s="13" t="s">
        <v>23</v>
      </c>
      <c r="D38" s="16">
        <f>'נספח 3'!C31</f>
        <v>1755.6295076999997</v>
      </c>
    </row>
    <row r="39" spans="2:4" ht="18" customHeight="1" x14ac:dyDescent="0.3">
      <c r="C39" s="13" t="s">
        <v>24</v>
      </c>
      <c r="D39" s="16">
        <f>'נספח 3'!C71-'לבני 50 ומטה'!D39-'לבני 60 ומעלה'!D39</f>
        <v>1622.9242910587425</v>
      </c>
    </row>
    <row r="40" spans="2:4" ht="18" customHeight="1" x14ac:dyDescent="0.3">
      <c r="C40" s="13" t="s">
        <v>25</v>
      </c>
      <c r="D40" s="16">
        <v>0</v>
      </c>
    </row>
    <row r="41" spans="2:4" ht="18" customHeight="1" x14ac:dyDescent="0.3">
      <c r="C41" s="13" t="s">
        <v>26</v>
      </c>
      <c r="D41" s="16">
        <v>0</v>
      </c>
    </row>
    <row r="42" spans="2:4" ht="18" customHeight="1" x14ac:dyDescent="0.3">
      <c r="C42" s="13" t="s">
        <v>27</v>
      </c>
      <c r="D42" s="16">
        <v>14.779703533999996</v>
      </c>
    </row>
    <row r="43" spans="2:4" ht="18" customHeight="1" x14ac:dyDescent="0.3">
      <c r="C43" s="13" t="s">
        <v>28</v>
      </c>
      <c r="D43" s="16"/>
    </row>
    <row r="44" spans="2:4" ht="18" customHeight="1" x14ac:dyDescent="0.3">
      <c r="C44" s="13" t="s">
        <v>29</v>
      </c>
      <c r="D44" s="16">
        <v>370.07345056099979</v>
      </c>
    </row>
    <row r="45" spans="2:4" ht="18" customHeight="1" x14ac:dyDescent="0.3">
      <c r="C45" s="13" t="s">
        <v>51</v>
      </c>
      <c r="D45" s="16"/>
    </row>
    <row r="46" spans="2:4" ht="18" customHeight="1" x14ac:dyDescent="0.3">
      <c r="C46" s="6" t="s">
        <v>31</v>
      </c>
      <c r="D46" s="16">
        <v>0</v>
      </c>
    </row>
    <row r="47" spans="2:4" ht="18" customHeight="1" x14ac:dyDescent="0.3">
      <c r="C47" s="6" t="s">
        <v>32</v>
      </c>
      <c r="D47" s="16"/>
    </row>
    <row r="48" spans="2:4" ht="18" customHeight="1" x14ac:dyDescent="0.3">
      <c r="C48" s="6" t="s">
        <v>33</v>
      </c>
      <c r="D48" s="16">
        <v>185.25346044399998</v>
      </c>
    </row>
    <row r="49" spans="2:4" ht="18" customHeight="1" x14ac:dyDescent="0.3">
      <c r="C49" s="6" t="s">
        <v>32</v>
      </c>
      <c r="D49" s="16"/>
    </row>
    <row r="50" spans="2:4" ht="18" customHeight="1" x14ac:dyDescent="0.3">
      <c r="C50" s="6" t="s">
        <v>34</v>
      </c>
      <c r="D50" s="16">
        <v>5.0472688699999946</v>
      </c>
    </row>
    <row r="51" spans="2:4" ht="18" customHeight="1" x14ac:dyDescent="0.3">
      <c r="D51" s="16"/>
    </row>
    <row r="52" spans="2:4" ht="18" customHeight="1" x14ac:dyDescent="0.3">
      <c r="B52" s="13" t="s">
        <v>35</v>
      </c>
      <c r="D52" s="18">
        <f>SUM(D38:D50)/D29</f>
        <v>2.2535424635390525E-3</v>
      </c>
    </row>
    <row r="53" spans="2:4" ht="18" customHeight="1" x14ac:dyDescent="0.3">
      <c r="B53" s="13" t="s">
        <v>36</v>
      </c>
      <c r="D53" s="20">
        <v>3.0000000000000001E-3</v>
      </c>
    </row>
    <row r="54" spans="2:4" ht="18" customHeight="1" x14ac:dyDescent="0.3">
      <c r="B54" s="13" t="s">
        <v>37</v>
      </c>
      <c r="D54" s="18">
        <f>IFERROR(D53-D52,"")</f>
        <v>7.4645753646094756E-4</v>
      </c>
    </row>
    <row r="55" spans="2:4" ht="18" customHeight="1" x14ac:dyDescent="0.3">
      <c r="B55" s="13"/>
      <c r="D55" s="16"/>
    </row>
    <row r="56" spans="2:4" ht="18" customHeight="1" x14ac:dyDescent="0.3">
      <c r="B56" s="13" t="s">
        <v>38</v>
      </c>
      <c r="D56" s="16">
        <v>0</v>
      </c>
    </row>
    <row r="57" spans="2:4" ht="18" customHeight="1" x14ac:dyDescent="0.3">
      <c r="B57" s="13" t="s">
        <v>39</v>
      </c>
      <c r="D57" s="18">
        <f>IFERROR((SUM(D38:D50)-D56)/D29,0)</f>
        <v>2.2535424635390525E-3</v>
      </c>
    </row>
    <row r="58" spans="2:4" ht="18" customHeight="1" x14ac:dyDescent="0.3">
      <c r="B58" s="13"/>
      <c r="D58" s="16"/>
    </row>
    <row r="59" spans="2:4" ht="18" customHeight="1" x14ac:dyDescent="0.3">
      <c r="B59" s="19" t="s">
        <v>40</v>
      </c>
      <c r="D59" s="16"/>
    </row>
    <row r="60" spans="2:4" ht="18" customHeight="1" x14ac:dyDescent="0.3">
      <c r="B60" s="13" t="s">
        <v>41</v>
      </c>
      <c r="D60" s="21">
        <f>D25+SUM(D38:D50)-D56</f>
        <v>5162.5606149877422</v>
      </c>
    </row>
    <row r="61" spans="2:4" ht="18" customHeight="1" x14ac:dyDescent="0.3">
      <c r="B61" s="13"/>
      <c r="D61" s="16"/>
    </row>
    <row r="62" spans="2:4" ht="18" customHeight="1" x14ac:dyDescent="0.3">
      <c r="B62" s="13" t="s">
        <v>42</v>
      </c>
      <c r="D62" s="18">
        <f>IFERROR(D60/D27,0)</f>
        <v>2.8550559210555205E-3</v>
      </c>
    </row>
    <row r="63" spans="2:4" ht="18" customHeight="1" x14ac:dyDescent="0.3">
      <c r="B63" s="13"/>
      <c r="D63" s="16"/>
    </row>
    <row r="64" spans="2:4" ht="18" customHeight="1" x14ac:dyDescent="0.3">
      <c r="B64" s="19" t="s">
        <v>43</v>
      </c>
      <c r="D64" s="16"/>
    </row>
    <row r="65" spans="2:4" ht="18" customHeight="1" x14ac:dyDescent="0.3">
      <c r="B65" s="13" t="s">
        <v>52</v>
      </c>
      <c r="D65" s="20">
        <v>3.0000000000000001E-3</v>
      </c>
    </row>
    <row r="66" spans="2:4" ht="18" customHeight="1" x14ac:dyDescent="0.3">
      <c r="B66" s="13" t="s">
        <v>53</v>
      </c>
      <c r="D66" s="16"/>
    </row>
    <row r="67" spans="2:4" ht="18" customHeight="1" x14ac:dyDescent="0.3">
      <c r="B67" s="13" t="s">
        <v>45</v>
      </c>
      <c r="D67" s="18">
        <f>IFERROR(D31+D65,"יש להשלים את סעיף 18")</f>
        <v>3.6685331138802072E-3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4AD16-DC08-4482-A76F-CEA10D553C81}">
  <sheetPr>
    <tabColor rgb="FF002060"/>
  </sheetPr>
  <dimension ref="B2:D67"/>
  <sheetViews>
    <sheetView showGridLines="0" rightToLeft="1" zoomScale="90" zoomScaleNormal="90" workbookViewId="0"/>
  </sheetViews>
  <sheetFormatPr defaultColWidth="9.09765625" defaultRowHeight="14.4" x14ac:dyDescent="0.3"/>
  <cols>
    <col min="1" max="1" width="2.69921875" style="6" customWidth="1"/>
    <col min="2" max="2" width="5.69921875" style="15" customWidth="1"/>
    <col min="3" max="3" width="90.19921875" style="6" customWidth="1"/>
    <col min="4" max="4" width="12.3984375" style="5" bestFit="1" customWidth="1"/>
    <col min="5" max="16384" width="9.09765625" style="6"/>
  </cols>
  <sheetData>
    <row r="2" spans="2:4" ht="18" customHeight="1" x14ac:dyDescent="0.35">
      <c r="B2" s="3" t="s">
        <v>54</v>
      </c>
      <c r="C2" s="4"/>
    </row>
    <row r="3" spans="2:4" ht="18" customHeight="1" x14ac:dyDescent="0.35">
      <c r="B3" s="7"/>
    </row>
    <row r="4" spans="2:4" ht="18" customHeight="1" x14ac:dyDescent="0.35">
      <c r="B4" s="8" t="s">
        <v>1</v>
      </c>
      <c r="C4" s="4"/>
      <c r="D4" s="9" t="s">
        <v>2</v>
      </c>
    </row>
    <row r="5" spans="2:4" ht="18" customHeight="1" x14ac:dyDescent="0.3">
      <c r="B5" s="10"/>
      <c r="C5" s="4"/>
      <c r="D5" s="11"/>
    </row>
    <row r="6" spans="2:4" ht="18" customHeight="1" x14ac:dyDescent="0.3">
      <c r="B6" s="12" t="s">
        <v>3</v>
      </c>
    </row>
    <row r="7" spans="2:4" ht="18" customHeight="1" x14ac:dyDescent="0.3">
      <c r="B7" s="13" t="s">
        <v>4</v>
      </c>
      <c r="D7" s="14">
        <f>SUM(D8:D9)</f>
        <v>26.812999999999999</v>
      </c>
    </row>
    <row r="8" spans="2:4" ht="18" customHeight="1" x14ac:dyDescent="0.3">
      <c r="C8" s="6" t="s">
        <v>5</v>
      </c>
      <c r="D8" s="16">
        <v>2.0539236300000008</v>
      </c>
    </row>
    <row r="9" spans="2:4" ht="18" customHeight="1" x14ac:dyDescent="0.3">
      <c r="C9" s="6" t="s">
        <v>6</v>
      </c>
      <c r="D9" s="16">
        <f>26.813-D8</f>
        <v>24.759076369999999</v>
      </c>
    </row>
    <row r="10" spans="2:4" ht="18" customHeight="1" x14ac:dyDescent="0.3">
      <c r="D10" s="16"/>
    </row>
    <row r="11" spans="2:4" ht="18" customHeight="1" x14ac:dyDescent="0.3">
      <c r="B11" s="13" t="s">
        <v>7</v>
      </c>
      <c r="D11" s="14">
        <f>SUM(D12:D13)</f>
        <v>0.15688999999999997</v>
      </c>
    </row>
    <row r="12" spans="2:4" ht="18" customHeight="1" x14ac:dyDescent="0.3">
      <c r="C12" s="15" t="s">
        <v>8</v>
      </c>
      <c r="D12" s="16"/>
    </row>
    <row r="13" spans="2:4" ht="18" customHeight="1" x14ac:dyDescent="0.3">
      <c r="C13" s="15" t="s">
        <v>9</v>
      </c>
      <c r="D13" s="17">
        <v>0.15688999999999997</v>
      </c>
    </row>
    <row r="14" spans="2:4" ht="18" customHeight="1" x14ac:dyDescent="0.3">
      <c r="C14" s="15"/>
      <c r="D14" s="16"/>
    </row>
    <row r="15" spans="2:4" ht="18" customHeight="1" x14ac:dyDescent="0.3">
      <c r="B15" s="13" t="s">
        <v>10</v>
      </c>
      <c r="D15" s="14">
        <v>0</v>
      </c>
    </row>
    <row r="16" spans="2:4" ht="18" customHeight="1" x14ac:dyDescent="0.3">
      <c r="C16" s="15" t="s">
        <v>11</v>
      </c>
      <c r="D16" s="16">
        <v>0</v>
      </c>
    </row>
    <row r="17" spans="2:4" ht="18" customHeight="1" x14ac:dyDescent="0.3">
      <c r="C17" s="15" t="s">
        <v>12</v>
      </c>
      <c r="D17" s="16">
        <v>0</v>
      </c>
    </row>
    <row r="18" spans="2:4" ht="18" customHeight="1" x14ac:dyDescent="0.3">
      <c r="D18" s="16"/>
    </row>
    <row r="19" spans="2:4" ht="18" customHeight="1" x14ac:dyDescent="0.3">
      <c r="B19" s="13" t="s">
        <v>13</v>
      </c>
      <c r="D19" s="16">
        <v>13.436999999999999</v>
      </c>
    </row>
    <row r="20" spans="2:4" ht="18" customHeight="1" x14ac:dyDescent="0.3">
      <c r="B20" s="13"/>
      <c r="D20" s="16"/>
    </row>
    <row r="21" spans="2:4" ht="18" customHeight="1" x14ac:dyDescent="0.3">
      <c r="B21" s="13" t="s">
        <v>14</v>
      </c>
      <c r="D21" s="16">
        <v>0</v>
      </c>
    </row>
    <row r="22" spans="2:4" ht="18" customHeight="1" x14ac:dyDescent="0.3">
      <c r="B22" s="13"/>
      <c r="D22" s="16"/>
    </row>
    <row r="23" spans="2:4" ht="18" customHeight="1" x14ac:dyDescent="0.3">
      <c r="B23" s="13" t="s">
        <v>15</v>
      </c>
      <c r="D23" s="16">
        <v>0</v>
      </c>
    </row>
    <row r="24" spans="2:4" ht="18" customHeight="1" x14ac:dyDescent="0.3">
      <c r="B24" s="13"/>
      <c r="D24" s="16"/>
    </row>
    <row r="25" spans="2:4" ht="18" customHeight="1" x14ac:dyDescent="0.3">
      <c r="B25" s="13" t="s">
        <v>49</v>
      </c>
      <c r="D25" s="16">
        <f>SUM(D7+D11+D15+D19+D21+D23)</f>
        <v>40.406889999999997</v>
      </c>
    </row>
    <row r="26" spans="2:4" ht="18" customHeight="1" x14ac:dyDescent="0.3">
      <c r="B26" s="13"/>
      <c r="D26" s="16"/>
    </row>
    <row r="27" spans="2:4" ht="18" customHeight="1" x14ac:dyDescent="0.3">
      <c r="B27" s="13" t="s">
        <v>50</v>
      </c>
      <c r="D27" s="16">
        <f>(D28+D29)/2</f>
        <v>63116.869995000001</v>
      </c>
    </row>
    <row r="28" spans="2:4" ht="18" customHeight="1" x14ac:dyDescent="0.3">
      <c r="C28" s="6" t="s">
        <v>17</v>
      </c>
      <c r="D28" s="16">
        <v>70170.15724</v>
      </c>
    </row>
    <row r="29" spans="2:4" ht="18" customHeight="1" x14ac:dyDescent="0.3">
      <c r="C29" s="6" t="s">
        <v>18</v>
      </c>
      <c r="D29" s="16">
        <v>56063.582750000001</v>
      </c>
    </row>
    <row r="30" spans="2:4" ht="18" customHeight="1" x14ac:dyDescent="0.3">
      <c r="D30" s="16"/>
    </row>
    <row r="31" spans="2:4" ht="18" customHeight="1" x14ac:dyDescent="0.3">
      <c r="B31" s="13" t="s">
        <v>19</v>
      </c>
      <c r="D31" s="18">
        <f>IFERROR(D25/D27,0)</f>
        <v>6.4019160017283734E-4</v>
      </c>
    </row>
    <row r="32" spans="2:4" ht="18" customHeight="1" x14ac:dyDescent="0.3">
      <c r="B32" s="13"/>
      <c r="D32" s="16"/>
    </row>
    <row r="33" spans="2:4" ht="18" customHeight="1" x14ac:dyDescent="0.3">
      <c r="B33" s="10" t="s">
        <v>20</v>
      </c>
      <c r="D33" s="16"/>
    </row>
    <row r="34" spans="2:4" ht="18" customHeight="1" x14ac:dyDescent="0.3">
      <c r="B34" s="13" t="s">
        <v>21</v>
      </c>
      <c r="D34" s="16">
        <v>0</v>
      </c>
    </row>
    <row r="35" spans="2:4" ht="18" customHeight="1" x14ac:dyDescent="0.3">
      <c r="B35" s="13"/>
      <c r="D35" s="16"/>
    </row>
    <row r="36" spans="2:4" ht="18" customHeight="1" x14ac:dyDescent="0.3">
      <c r="B36" s="19" t="s">
        <v>20</v>
      </c>
      <c r="D36" s="16"/>
    </row>
    <row r="37" spans="2:4" ht="18" customHeight="1" x14ac:dyDescent="0.3">
      <c r="B37" s="13" t="s">
        <v>22</v>
      </c>
      <c r="D37" s="16">
        <f>SUM(D38:D50)</f>
        <v>9.8944203270571407</v>
      </c>
    </row>
    <row r="38" spans="2:4" ht="18" customHeight="1" x14ac:dyDescent="0.3">
      <c r="C38" s="13" t="s">
        <v>23</v>
      </c>
      <c r="D38" s="16">
        <v>0</v>
      </c>
    </row>
    <row r="39" spans="2:4" ht="18" customHeight="1" x14ac:dyDescent="0.3">
      <c r="C39" s="13" t="s">
        <v>24</v>
      </c>
      <c r="D39" s="16">
        <f>4613.40295605714/1000</f>
        <v>4.6134029560571399</v>
      </c>
    </row>
    <row r="40" spans="2:4" ht="18" customHeight="1" x14ac:dyDescent="0.3">
      <c r="C40" s="13" t="s">
        <v>25</v>
      </c>
      <c r="D40" s="16">
        <v>0</v>
      </c>
    </row>
    <row r="41" spans="2:4" ht="18" customHeight="1" x14ac:dyDescent="0.3">
      <c r="C41" s="13" t="s">
        <v>26</v>
      </c>
      <c r="D41" s="16">
        <v>0</v>
      </c>
    </row>
    <row r="42" spans="2:4" ht="18" customHeight="1" x14ac:dyDescent="0.3">
      <c r="C42" s="13" t="s">
        <v>27</v>
      </c>
      <c r="D42" s="16">
        <v>0.61962120500000029</v>
      </c>
    </row>
    <row r="43" spans="2:4" ht="18" customHeight="1" x14ac:dyDescent="0.3">
      <c r="C43" s="13" t="s">
        <v>28</v>
      </c>
      <c r="D43" s="16"/>
    </row>
    <row r="44" spans="2:4" ht="18" customHeight="1" x14ac:dyDescent="0.3">
      <c r="C44" s="13" t="s">
        <v>29</v>
      </c>
      <c r="D44" s="16">
        <v>4.0973961659999993</v>
      </c>
    </row>
    <row r="45" spans="2:4" ht="18" customHeight="1" x14ac:dyDescent="0.3">
      <c r="C45" s="13" t="s">
        <v>51</v>
      </c>
      <c r="D45" s="16"/>
    </row>
    <row r="46" spans="2:4" ht="18" customHeight="1" x14ac:dyDescent="0.3">
      <c r="C46" s="6" t="s">
        <v>31</v>
      </c>
      <c r="D46" s="16">
        <v>0.56399999999999995</v>
      </c>
    </row>
    <row r="47" spans="2:4" ht="18" customHeight="1" x14ac:dyDescent="0.3">
      <c r="C47" s="6" t="s">
        <v>32</v>
      </c>
      <c r="D47" s="16"/>
    </row>
    <row r="48" spans="2:4" ht="18" customHeight="1" x14ac:dyDescent="0.3">
      <c r="C48" s="6" t="s">
        <v>33</v>
      </c>
      <c r="D48" s="16"/>
    </row>
    <row r="49" spans="2:4" ht="18" customHeight="1" x14ac:dyDescent="0.3">
      <c r="C49" s="6" t="s">
        <v>32</v>
      </c>
      <c r="D49" s="16"/>
    </row>
    <row r="50" spans="2:4" ht="18" customHeight="1" x14ac:dyDescent="0.3">
      <c r="C50" s="6" t="s">
        <v>34</v>
      </c>
      <c r="D50" s="16">
        <v>0</v>
      </c>
    </row>
    <row r="51" spans="2:4" ht="18" customHeight="1" x14ac:dyDescent="0.3">
      <c r="D51" s="16"/>
    </row>
    <row r="52" spans="2:4" ht="18" customHeight="1" x14ac:dyDescent="0.3">
      <c r="B52" s="13" t="s">
        <v>35</v>
      </c>
      <c r="D52" s="18">
        <f>SUM(D38:D50)/D29</f>
        <v>1.7648569430852402E-4</v>
      </c>
    </row>
    <row r="53" spans="2:4" ht="18" customHeight="1" x14ac:dyDescent="0.3">
      <c r="B53" s="13" t="s">
        <v>36</v>
      </c>
      <c r="D53" s="20">
        <v>5.0000000000000001E-4</v>
      </c>
    </row>
    <row r="54" spans="2:4" ht="18" customHeight="1" x14ac:dyDescent="0.3">
      <c r="B54" s="13" t="s">
        <v>37</v>
      </c>
      <c r="D54" s="18">
        <f>IFERROR(D53-D52,"")</f>
        <v>3.2351430569147599E-4</v>
      </c>
    </row>
    <row r="55" spans="2:4" ht="18" customHeight="1" x14ac:dyDescent="0.3">
      <c r="B55" s="13"/>
      <c r="D55" s="16"/>
    </row>
    <row r="56" spans="2:4" ht="18" customHeight="1" x14ac:dyDescent="0.3">
      <c r="B56" s="13" t="s">
        <v>38</v>
      </c>
      <c r="D56" s="16">
        <v>0</v>
      </c>
    </row>
    <row r="57" spans="2:4" ht="18" customHeight="1" x14ac:dyDescent="0.3">
      <c r="B57" s="13" t="s">
        <v>39</v>
      </c>
      <c r="D57" s="18">
        <f>IFERROR((SUM(D38:D50)-D56)/D29,0)</f>
        <v>1.7648569430852402E-4</v>
      </c>
    </row>
    <row r="58" spans="2:4" ht="18" customHeight="1" x14ac:dyDescent="0.3">
      <c r="B58" s="13"/>
      <c r="D58" s="16"/>
    </row>
    <row r="59" spans="2:4" ht="18" customHeight="1" x14ac:dyDescent="0.3">
      <c r="B59" s="19" t="s">
        <v>40</v>
      </c>
      <c r="D59" s="16"/>
    </row>
    <row r="60" spans="2:4" ht="18" customHeight="1" x14ac:dyDescent="0.3">
      <c r="B60" s="13" t="s">
        <v>41</v>
      </c>
      <c r="D60" s="21">
        <f>D25+SUM(D38:D50)-D56</f>
        <v>50.301310327057138</v>
      </c>
    </row>
    <row r="61" spans="2:4" ht="18" customHeight="1" x14ac:dyDescent="0.3">
      <c r="B61" s="13"/>
      <c r="D61" s="16"/>
    </row>
    <row r="62" spans="2:4" ht="18" customHeight="1" x14ac:dyDescent="0.3">
      <c r="B62" s="13" t="s">
        <v>42</v>
      </c>
      <c r="D62" s="18">
        <f>IFERROR(D60/D27,0)</f>
        <v>7.9695508238988898E-4</v>
      </c>
    </row>
    <row r="63" spans="2:4" ht="18" customHeight="1" x14ac:dyDescent="0.3">
      <c r="B63" s="13"/>
      <c r="D63" s="16"/>
    </row>
    <row r="64" spans="2:4" ht="18" customHeight="1" x14ac:dyDescent="0.3">
      <c r="B64" s="19" t="s">
        <v>43</v>
      </c>
      <c r="D64" s="16"/>
    </row>
    <row r="65" spans="2:4" ht="18" customHeight="1" x14ac:dyDescent="0.3">
      <c r="B65" s="13" t="s">
        <v>52</v>
      </c>
      <c r="D65" s="20">
        <v>5.0000000000000001E-4</v>
      </c>
    </row>
    <row r="66" spans="2:4" ht="18" customHeight="1" x14ac:dyDescent="0.3">
      <c r="B66" s="13" t="s">
        <v>53</v>
      </c>
      <c r="D66" s="16"/>
    </row>
    <row r="67" spans="2:4" ht="18" customHeight="1" x14ac:dyDescent="0.3">
      <c r="B67" s="13" t="s">
        <v>45</v>
      </c>
      <c r="D67" s="18">
        <f>IFERROR(D31+D65,"יש להשלים את סעיף 18")</f>
        <v>1.1401916001728372E-3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1BD09-22FC-44FE-B479-7580949AD53F}">
  <sheetPr>
    <tabColor rgb="FF002060"/>
  </sheetPr>
  <dimension ref="B2:D67"/>
  <sheetViews>
    <sheetView showGridLines="0" rightToLeft="1" zoomScale="98" zoomScaleNormal="98" workbookViewId="0"/>
  </sheetViews>
  <sheetFormatPr defaultColWidth="9.09765625" defaultRowHeight="14.4" x14ac:dyDescent="0.3"/>
  <cols>
    <col min="1" max="1" width="2.69921875" style="6" customWidth="1"/>
    <col min="2" max="2" width="5.69921875" style="15" customWidth="1"/>
    <col min="3" max="3" width="89.69921875" style="6" customWidth="1"/>
    <col min="4" max="4" width="12.3984375" style="5" bestFit="1" customWidth="1"/>
    <col min="5" max="16384" width="9.09765625" style="6"/>
  </cols>
  <sheetData>
    <row r="2" spans="2:4" ht="18" customHeight="1" x14ac:dyDescent="0.35">
      <c r="B2" s="3" t="s">
        <v>55</v>
      </c>
      <c r="C2" s="4"/>
    </row>
    <row r="3" spans="2:4" ht="18" customHeight="1" x14ac:dyDescent="0.35">
      <c r="B3" s="7"/>
    </row>
    <row r="4" spans="2:4" ht="18" customHeight="1" x14ac:dyDescent="0.35">
      <c r="B4" s="8" t="s">
        <v>1</v>
      </c>
      <c r="C4" s="4"/>
      <c r="D4" s="9" t="s">
        <v>2</v>
      </c>
    </row>
    <row r="5" spans="2:4" ht="18" customHeight="1" x14ac:dyDescent="0.3">
      <c r="B5" s="10"/>
      <c r="C5" s="4"/>
      <c r="D5" s="11"/>
    </row>
    <row r="6" spans="2:4" ht="18" customHeight="1" x14ac:dyDescent="0.3">
      <c r="B6" s="12" t="s">
        <v>3</v>
      </c>
    </row>
    <row r="7" spans="2:4" ht="18" customHeight="1" x14ac:dyDescent="0.3">
      <c r="B7" s="13" t="s">
        <v>4</v>
      </c>
      <c r="D7" s="14">
        <f>SUM(D8:D9)</f>
        <v>34.986893780000003</v>
      </c>
    </row>
    <row r="8" spans="2:4" ht="18" customHeight="1" x14ac:dyDescent="0.3">
      <c r="C8" s="6" t="s">
        <v>5</v>
      </c>
      <c r="D8" s="16">
        <v>2.4358937800000007</v>
      </c>
    </row>
    <row r="9" spans="2:4" ht="18" customHeight="1" x14ac:dyDescent="0.3">
      <c r="C9" s="6" t="s">
        <v>6</v>
      </c>
      <c r="D9" s="16">
        <v>32.551000000000002</v>
      </c>
    </row>
    <row r="10" spans="2:4" ht="18" customHeight="1" x14ac:dyDescent="0.3">
      <c r="D10" s="16"/>
    </row>
    <row r="11" spans="2:4" ht="18" customHeight="1" x14ac:dyDescent="0.3">
      <c r="B11" s="13" t="s">
        <v>7</v>
      </c>
      <c r="D11" s="14">
        <f>SUM(D12:D13)</f>
        <v>0.18518000000000001</v>
      </c>
    </row>
    <row r="12" spans="2:4" ht="18" customHeight="1" x14ac:dyDescent="0.3">
      <c r="C12" s="15" t="s">
        <v>8</v>
      </c>
      <c r="D12" s="16"/>
    </row>
    <row r="13" spans="2:4" ht="18" customHeight="1" x14ac:dyDescent="0.3">
      <c r="C13" s="15" t="s">
        <v>9</v>
      </c>
      <c r="D13" s="17">
        <v>0.18518000000000001</v>
      </c>
    </row>
    <row r="14" spans="2:4" ht="18" customHeight="1" x14ac:dyDescent="0.3">
      <c r="C14" s="15"/>
      <c r="D14" s="16"/>
    </row>
    <row r="15" spans="2:4" ht="18" customHeight="1" x14ac:dyDescent="0.3">
      <c r="B15" s="13" t="s">
        <v>10</v>
      </c>
      <c r="D15" s="14">
        <v>0</v>
      </c>
    </row>
    <row r="16" spans="2:4" ht="18" customHeight="1" x14ac:dyDescent="0.3">
      <c r="C16" s="15" t="s">
        <v>11</v>
      </c>
      <c r="D16" s="16">
        <v>0</v>
      </c>
    </row>
    <row r="17" spans="2:4" ht="18" customHeight="1" x14ac:dyDescent="0.3">
      <c r="C17" s="15" t="s">
        <v>12</v>
      </c>
      <c r="D17" s="16">
        <v>0</v>
      </c>
    </row>
    <row r="18" spans="2:4" ht="18" customHeight="1" x14ac:dyDescent="0.3">
      <c r="D18" s="16"/>
    </row>
    <row r="19" spans="2:4" ht="18" customHeight="1" x14ac:dyDescent="0.3">
      <c r="B19" s="13" t="s">
        <v>13</v>
      </c>
      <c r="D19" s="16">
        <v>16.207000000000001</v>
      </c>
    </row>
    <row r="20" spans="2:4" ht="18" customHeight="1" x14ac:dyDescent="0.3">
      <c r="B20" s="13"/>
      <c r="D20" s="16"/>
    </row>
    <row r="21" spans="2:4" ht="18" customHeight="1" x14ac:dyDescent="0.3">
      <c r="B21" s="13" t="s">
        <v>14</v>
      </c>
      <c r="D21" s="16">
        <v>0</v>
      </c>
    </row>
    <row r="22" spans="2:4" ht="18" customHeight="1" x14ac:dyDescent="0.3">
      <c r="B22" s="13"/>
      <c r="D22" s="16"/>
    </row>
    <row r="23" spans="2:4" ht="18" customHeight="1" x14ac:dyDescent="0.3">
      <c r="B23" s="13" t="s">
        <v>15</v>
      </c>
      <c r="D23" s="16">
        <v>0</v>
      </c>
    </row>
    <row r="24" spans="2:4" ht="18" customHeight="1" x14ac:dyDescent="0.3">
      <c r="B24" s="13"/>
      <c r="D24" s="16"/>
    </row>
    <row r="25" spans="2:4" ht="18" customHeight="1" x14ac:dyDescent="0.3">
      <c r="B25" s="13" t="s">
        <v>49</v>
      </c>
      <c r="D25" s="16">
        <f>SUM(D7+D11+D15+D19+D21+D23)</f>
        <v>51.379073780000006</v>
      </c>
    </row>
    <row r="26" spans="2:4" ht="18" customHeight="1" x14ac:dyDescent="0.3">
      <c r="B26" s="13"/>
      <c r="D26" s="16"/>
    </row>
    <row r="27" spans="2:4" ht="18" customHeight="1" x14ac:dyDescent="0.3">
      <c r="B27" s="13" t="s">
        <v>50</v>
      </c>
      <c r="D27" s="16">
        <f>(D28+D29)/2</f>
        <v>88187.220629999996</v>
      </c>
    </row>
    <row r="28" spans="2:4" ht="18" customHeight="1" x14ac:dyDescent="0.3">
      <c r="C28" s="6" t="s">
        <v>17</v>
      </c>
      <c r="D28" s="16">
        <v>92262.675540000011</v>
      </c>
    </row>
    <row r="29" spans="2:4" ht="18" customHeight="1" x14ac:dyDescent="0.3">
      <c r="C29" s="6" t="s">
        <v>18</v>
      </c>
      <c r="D29" s="16">
        <v>84111.765719999996</v>
      </c>
    </row>
    <row r="30" spans="2:4" ht="18" customHeight="1" x14ac:dyDescent="0.3">
      <c r="D30" s="16"/>
    </row>
    <row r="31" spans="2:4" ht="18" customHeight="1" x14ac:dyDescent="0.3">
      <c r="B31" s="13" t="s">
        <v>19</v>
      </c>
      <c r="D31" s="18">
        <f>IFERROR(D25/D27,0)</f>
        <v>5.826135965387438E-4</v>
      </c>
    </row>
    <row r="32" spans="2:4" ht="18" customHeight="1" x14ac:dyDescent="0.3">
      <c r="B32" s="13"/>
      <c r="D32" s="16"/>
    </row>
    <row r="33" spans="2:4" ht="18" customHeight="1" x14ac:dyDescent="0.3">
      <c r="B33" s="10" t="s">
        <v>20</v>
      </c>
      <c r="D33" s="16"/>
    </row>
    <row r="34" spans="2:4" ht="18" customHeight="1" x14ac:dyDescent="0.3">
      <c r="B34" s="13" t="s">
        <v>21</v>
      </c>
      <c r="D34" s="16">
        <v>616.29999999999995</v>
      </c>
    </row>
    <row r="35" spans="2:4" ht="18" customHeight="1" x14ac:dyDescent="0.3">
      <c r="B35" s="13"/>
      <c r="D35" s="16"/>
    </row>
    <row r="36" spans="2:4" ht="18" customHeight="1" x14ac:dyDescent="0.3">
      <c r="B36" s="19" t="s">
        <v>20</v>
      </c>
      <c r="D36" s="16"/>
    </row>
    <row r="37" spans="2:4" ht="18" customHeight="1" x14ac:dyDescent="0.3">
      <c r="B37" s="13" t="s">
        <v>22</v>
      </c>
      <c r="D37" s="16">
        <f>SUM(D38:D50)</f>
        <v>7.0589459942000037</v>
      </c>
    </row>
    <row r="38" spans="2:4" ht="18" customHeight="1" x14ac:dyDescent="0.3">
      <c r="C38" s="13" t="s">
        <v>23</v>
      </c>
      <c r="D38" s="16">
        <v>0</v>
      </c>
    </row>
    <row r="39" spans="2:4" ht="18" customHeight="1" x14ac:dyDescent="0.3">
      <c r="C39" s="13" t="s">
        <v>24</v>
      </c>
      <c r="D39" s="16">
        <f>2192.6900132/1000</f>
        <v>2.1926900132</v>
      </c>
    </row>
    <row r="40" spans="2:4" ht="18" customHeight="1" x14ac:dyDescent="0.3">
      <c r="C40" s="13" t="s">
        <v>25</v>
      </c>
      <c r="D40" s="16">
        <v>0</v>
      </c>
    </row>
    <row r="41" spans="2:4" ht="18" customHeight="1" x14ac:dyDescent="0.3">
      <c r="C41" s="13" t="s">
        <v>26</v>
      </c>
      <c r="D41" s="16">
        <v>0</v>
      </c>
    </row>
    <row r="42" spans="2:4" ht="18" customHeight="1" x14ac:dyDescent="0.3">
      <c r="C42" s="13" t="s">
        <v>27</v>
      </c>
      <c r="D42" s="16">
        <v>0.36220229100000007</v>
      </c>
    </row>
    <row r="43" spans="2:4" ht="18" customHeight="1" x14ac:dyDescent="0.3">
      <c r="C43" s="13" t="s">
        <v>28</v>
      </c>
      <c r="D43" s="16"/>
    </row>
    <row r="44" spans="2:4" ht="18" customHeight="1" x14ac:dyDescent="0.3">
      <c r="C44" s="13" t="s">
        <v>29</v>
      </c>
      <c r="D44" s="16">
        <v>4.5040536900000037</v>
      </c>
    </row>
    <row r="45" spans="2:4" ht="18" customHeight="1" x14ac:dyDescent="0.3">
      <c r="C45" s="13" t="s">
        <v>51</v>
      </c>
      <c r="D45" s="16"/>
    </row>
    <row r="46" spans="2:4" ht="18" customHeight="1" x14ac:dyDescent="0.3">
      <c r="C46" s="6" t="s">
        <v>31</v>
      </c>
      <c r="D46" s="16">
        <v>0</v>
      </c>
    </row>
    <row r="47" spans="2:4" ht="18" customHeight="1" x14ac:dyDescent="0.3">
      <c r="C47" s="6" t="s">
        <v>32</v>
      </c>
      <c r="D47" s="16"/>
    </row>
    <row r="48" spans="2:4" ht="18" customHeight="1" x14ac:dyDescent="0.3">
      <c r="C48" s="6" t="s">
        <v>33</v>
      </c>
      <c r="D48" s="16">
        <v>0</v>
      </c>
    </row>
    <row r="49" spans="2:4" ht="18" customHeight="1" x14ac:dyDescent="0.3">
      <c r="C49" s="6" t="s">
        <v>32</v>
      </c>
      <c r="D49" s="16"/>
    </row>
    <row r="50" spans="2:4" ht="18" customHeight="1" x14ac:dyDescent="0.3">
      <c r="C50" s="6" t="s">
        <v>34</v>
      </c>
      <c r="D50" s="16">
        <v>0</v>
      </c>
    </row>
    <row r="51" spans="2:4" ht="18" customHeight="1" x14ac:dyDescent="0.3">
      <c r="D51" s="16"/>
    </row>
    <row r="52" spans="2:4" ht="18" customHeight="1" x14ac:dyDescent="0.3">
      <c r="B52" s="13" t="s">
        <v>35</v>
      </c>
      <c r="D52" s="18">
        <f>SUM(D38:D50)/D29</f>
        <v>8.3923407549171632E-5</v>
      </c>
    </row>
    <row r="53" spans="2:4" ht="18" customHeight="1" x14ac:dyDescent="0.3">
      <c r="B53" s="13" t="s">
        <v>36</v>
      </c>
      <c r="D53" s="20">
        <v>5.0000000000000001E-4</v>
      </c>
    </row>
    <row r="54" spans="2:4" ht="18" customHeight="1" x14ac:dyDescent="0.3">
      <c r="B54" s="13" t="s">
        <v>37</v>
      </c>
      <c r="D54" s="18">
        <f>IFERROR(D53-D52,"")</f>
        <v>4.1607659245082839E-4</v>
      </c>
    </row>
    <row r="55" spans="2:4" ht="18" customHeight="1" x14ac:dyDescent="0.3">
      <c r="B55" s="13"/>
      <c r="D55" s="16"/>
    </row>
    <row r="56" spans="2:4" ht="18" customHeight="1" x14ac:dyDescent="0.3">
      <c r="B56" s="13" t="s">
        <v>38</v>
      </c>
      <c r="D56" s="16">
        <v>0</v>
      </c>
    </row>
    <row r="57" spans="2:4" ht="18" customHeight="1" x14ac:dyDescent="0.3">
      <c r="B57" s="13" t="s">
        <v>39</v>
      </c>
      <c r="D57" s="18">
        <f>IFERROR((SUM(D38:D50)-D56)/D29,0)</f>
        <v>8.3923407549171632E-5</v>
      </c>
    </row>
    <row r="58" spans="2:4" ht="18" customHeight="1" x14ac:dyDescent="0.3">
      <c r="B58" s="13"/>
      <c r="D58" s="16"/>
    </row>
    <row r="59" spans="2:4" ht="18" customHeight="1" x14ac:dyDescent="0.3">
      <c r="B59" s="19" t="s">
        <v>40</v>
      </c>
      <c r="D59" s="16"/>
    </row>
    <row r="60" spans="2:4" ht="18" customHeight="1" x14ac:dyDescent="0.3">
      <c r="B60" s="13" t="s">
        <v>41</v>
      </c>
      <c r="D60" s="21">
        <f>D25+SUM(D38:D50)-D56</f>
        <v>58.438019774200008</v>
      </c>
    </row>
    <row r="61" spans="2:4" ht="18" customHeight="1" x14ac:dyDescent="0.3">
      <c r="B61" s="13"/>
      <c r="D61" s="16"/>
    </row>
    <row r="62" spans="2:4" ht="18" customHeight="1" x14ac:dyDescent="0.3">
      <c r="B62" s="13" t="s">
        <v>42</v>
      </c>
      <c r="D62" s="18">
        <f>IFERROR(D60/D27,0)</f>
        <v>6.6265859561878801E-4</v>
      </c>
    </row>
    <row r="63" spans="2:4" ht="18" customHeight="1" x14ac:dyDescent="0.3">
      <c r="B63" s="13"/>
      <c r="D63" s="16"/>
    </row>
    <row r="64" spans="2:4" ht="18" customHeight="1" x14ac:dyDescent="0.3">
      <c r="B64" s="19" t="s">
        <v>43</v>
      </c>
      <c r="D64" s="16"/>
    </row>
    <row r="65" spans="2:4" ht="18" customHeight="1" x14ac:dyDescent="0.3">
      <c r="B65" s="13" t="s">
        <v>52</v>
      </c>
      <c r="D65" s="20">
        <v>5.0000000000000001E-4</v>
      </c>
    </row>
    <row r="66" spans="2:4" ht="18" customHeight="1" x14ac:dyDescent="0.3">
      <c r="B66" s="13" t="s">
        <v>53</v>
      </c>
      <c r="D66" s="16"/>
    </row>
    <row r="67" spans="2:4" ht="18" customHeight="1" x14ac:dyDescent="0.3">
      <c r="B67" s="13" t="s">
        <v>45</v>
      </c>
      <c r="D67" s="18">
        <f>IFERROR(D31+D65,"יש להשלים את סעיף 18")</f>
        <v>1.0826135965387438E-3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38122-E80B-457C-8557-27004291909E}">
  <sheetPr>
    <tabColor rgb="FF002060"/>
  </sheetPr>
  <dimension ref="B2:D67"/>
  <sheetViews>
    <sheetView showGridLines="0" rightToLeft="1" zoomScale="80" zoomScaleNormal="80" workbookViewId="0"/>
  </sheetViews>
  <sheetFormatPr defaultColWidth="9.09765625" defaultRowHeight="14.4" x14ac:dyDescent="0.3"/>
  <cols>
    <col min="1" max="1" width="2.69921875" style="6" customWidth="1"/>
    <col min="2" max="2" width="5.69921875" style="15" customWidth="1"/>
    <col min="3" max="3" width="93.3984375" style="6" customWidth="1"/>
    <col min="4" max="4" width="12.3984375" style="5" bestFit="1" customWidth="1"/>
    <col min="5" max="16384" width="9.09765625" style="6"/>
  </cols>
  <sheetData>
    <row r="2" spans="2:4" ht="18" customHeight="1" x14ac:dyDescent="0.35">
      <c r="B2" s="3" t="s">
        <v>56</v>
      </c>
      <c r="C2" s="4"/>
    </row>
    <row r="3" spans="2:4" ht="18" customHeight="1" x14ac:dyDescent="0.35">
      <c r="B3" s="7"/>
    </row>
    <row r="4" spans="2:4" ht="18" customHeight="1" x14ac:dyDescent="0.35">
      <c r="B4" s="8" t="s">
        <v>1</v>
      </c>
      <c r="C4" s="4"/>
      <c r="D4" s="9" t="s">
        <v>2</v>
      </c>
    </row>
    <row r="5" spans="2:4" ht="18" customHeight="1" x14ac:dyDescent="0.3">
      <c r="B5" s="10"/>
      <c r="C5" s="4"/>
      <c r="D5" s="11"/>
    </row>
    <row r="6" spans="2:4" ht="18" customHeight="1" x14ac:dyDescent="0.3">
      <c r="B6" s="12" t="s">
        <v>3</v>
      </c>
    </row>
    <row r="7" spans="2:4" ht="18" customHeight="1" x14ac:dyDescent="0.3">
      <c r="B7" s="13" t="s">
        <v>4</v>
      </c>
      <c r="D7" s="14">
        <f>SUM(D8:D9)</f>
        <v>4.4720030800000004</v>
      </c>
    </row>
    <row r="8" spans="2:4" ht="18" customHeight="1" x14ac:dyDescent="0.3">
      <c r="C8" s="6" t="s">
        <v>5</v>
      </c>
      <c r="D8" s="16">
        <v>9.7003080000000005E-2</v>
      </c>
    </row>
    <row r="9" spans="2:4" ht="18" customHeight="1" x14ac:dyDescent="0.3">
      <c r="C9" s="6" t="s">
        <v>6</v>
      </c>
      <c r="D9" s="16">
        <f>3.395+0.98</f>
        <v>4.375</v>
      </c>
    </row>
    <row r="10" spans="2:4" ht="18" customHeight="1" x14ac:dyDescent="0.3">
      <c r="D10" s="16"/>
    </row>
    <row r="11" spans="2:4" ht="18" customHeight="1" x14ac:dyDescent="0.3">
      <c r="B11" s="13" t="s">
        <v>7</v>
      </c>
      <c r="D11" s="14">
        <f>SUM(D12:D13)</f>
        <v>2.7100000000000003E-2</v>
      </c>
    </row>
    <row r="12" spans="2:4" ht="18" customHeight="1" x14ac:dyDescent="0.3">
      <c r="C12" s="15" t="s">
        <v>8</v>
      </c>
      <c r="D12" s="16"/>
    </row>
    <row r="13" spans="2:4" ht="18" customHeight="1" x14ac:dyDescent="0.3">
      <c r="C13" s="15" t="s">
        <v>9</v>
      </c>
      <c r="D13" s="17">
        <v>2.7100000000000003E-2</v>
      </c>
    </row>
    <row r="14" spans="2:4" ht="18" customHeight="1" x14ac:dyDescent="0.3">
      <c r="C14" s="15"/>
      <c r="D14" s="16"/>
    </row>
    <row r="15" spans="2:4" ht="18" customHeight="1" x14ac:dyDescent="0.3">
      <c r="B15" s="13" t="s">
        <v>10</v>
      </c>
      <c r="D15" s="14">
        <v>0</v>
      </c>
    </row>
    <row r="16" spans="2:4" ht="18" customHeight="1" x14ac:dyDescent="0.3">
      <c r="C16" s="15" t="s">
        <v>11</v>
      </c>
      <c r="D16" s="16">
        <v>0</v>
      </c>
    </row>
    <row r="17" spans="2:4" ht="18" customHeight="1" x14ac:dyDescent="0.3">
      <c r="C17" s="15" t="s">
        <v>12</v>
      </c>
      <c r="D17" s="16">
        <v>0</v>
      </c>
    </row>
    <row r="18" spans="2:4" ht="18" customHeight="1" x14ac:dyDescent="0.3">
      <c r="D18" s="16"/>
    </row>
    <row r="19" spans="2:4" ht="18" customHeight="1" x14ac:dyDescent="0.3">
      <c r="B19" s="13" t="s">
        <v>13</v>
      </c>
      <c r="D19" s="16">
        <v>0</v>
      </c>
    </row>
    <row r="20" spans="2:4" ht="18" customHeight="1" x14ac:dyDescent="0.3">
      <c r="B20" s="13"/>
      <c r="D20" s="16"/>
    </row>
    <row r="21" spans="2:4" ht="18" customHeight="1" x14ac:dyDescent="0.3">
      <c r="B21" s="13" t="s">
        <v>14</v>
      </c>
      <c r="D21" s="16">
        <v>0</v>
      </c>
    </row>
    <row r="22" spans="2:4" ht="18" customHeight="1" x14ac:dyDescent="0.3">
      <c r="B22" s="13"/>
      <c r="D22" s="16"/>
    </row>
    <row r="23" spans="2:4" ht="18" customHeight="1" x14ac:dyDescent="0.3">
      <c r="B23" s="13" t="s">
        <v>15</v>
      </c>
      <c r="D23" s="16">
        <v>0</v>
      </c>
    </row>
    <row r="24" spans="2:4" ht="18" customHeight="1" x14ac:dyDescent="0.3">
      <c r="B24" s="13"/>
      <c r="D24" s="16"/>
    </row>
    <row r="25" spans="2:4" ht="18" customHeight="1" x14ac:dyDescent="0.3">
      <c r="B25" s="13" t="s">
        <v>49</v>
      </c>
      <c r="D25" s="16">
        <f>SUM(D7+D11+D15+D19+D21+D23)</f>
        <v>4.4991030800000003</v>
      </c>
    </row>
    <row r="26" spans="2:4" ht="18" customHeight="1" x14ac:dyDescent="0.3">
      <c r="B26" s="13"/>
      <c r="D26" s="16"/>
    </row>
    <row r="27" spans="2:4" ht="18" customHeight="1" x14ac:dyDescent="0.3">
      <c r="B27" s="13" t="s">
        <v>50</v>
      </c>
      <c r="D27" s="16">
        <f>(D28+D29)/2</f>
        <v>22512.291020000001</v>
      </c>
    </row>
    <row r="28" spans="2:4" ht="18" customHeight="1" x14ac:dyDescent="0.3">
      <c r="C28" s="6" t="s">
        <v>17</v>
      </c>
      <c r="D28" s="16">
        <v>22508.979530000001</v>
      </c>
    </row>
    <row r="29" spans="2:4" ht="18" customHeight="1" x14ac:dyDescent="0.3">
      <c r="C29" s="6" t="s">
        <v>18</v>
      </c>
      <c r="D29" s="16">
        <v>22515.602510000001</v>
      </c>
    </row>
    <row r="30" spans="2:4" ht="18" customHeight="1" x14ac:dyDescent="0.3">
      <c r="D30" s="16"/>
    </row>
    <row r="31" spans="2:4" ht="18" customHeight="1" x14ac:dyDescent="0.3">
      <c r="B31" s="13" t="s">
        <v>19</v>
      </c>
      <c r="D31" s="18">
        <f>IFERROR(D25/D27,0)</f>
        <v>1.9985096479087716E-4</v>
      </c>
    </row>
    <row r="32" spans="2:4" ht="18" customHeight="1" x14ac:dyDescent="0.3">
      <c r="B32" s="13"/>
      <c r="D32" s="16"/>
    </row>
    <row r="33" spans="2:4" ht="18" customHeight="1" x14ac:dyDescent="0.3">
      <c r="B33" s="10" t="s">
        <v>20</v>
      </c>
      <c r="D33" s="16"/>
    </row>
    <row r="34" spans="2:4" ht="18" customHeight="1" x14ac:dyDescent="0.3">
      <c r="B34" s="13" t="s">
        <v>21</v>
      </c>
      <c r="D34" s="16">
        <v>0</v>
      </c>
    </row>
    <row r="35" spans="2:4" ht="18" customHeight="1" x14ac:dyDescent="0.3">
      <c r="B35" s="13"/>
      <c r="D35" s="16"/>
    </row>
    <row r="36" spans="2:4" ht="18" customHeight="1" x14ac:dyDescent="0.3">
      <c r="B36" s="19" t="s">
        <v>20</v>
      </c>
      <c r="D36" s="16"/>
    </row>
    <row r="37" spans="2:4" ht="18" customHeight="1" x14ac:dyDescent="0.3">
      <c r="B37" s="13" t="s">
        <v>22</v>
      </c>
      <c r="D37" s="16">
        <f>SUM(D38:D50)</f>
        <v>0.51937952799999998</v>
      </c>
    </row>
    <row r="38" spans="2:4" ht="18" customHeight="1" x14ac:dyDescent="0.3">
      <c r="C38" s="13" t="s">
        <v>23</v>
      </c>
      <c r="D38" s="16">
        <v>0</v>
      </c>
    </row>
    <row r="39" spans="2:4" ht="18" customHeight="1" x14ac:dyDescent="0.3">
      <c r="C39" s="13" t="s">
        <v>24</v>
      </c>
      <c r="D39" s="16">
        <v>0</v>
      </c>
    </row>
    <row r="40" spans="2:4" ht="18" customHeight="1" x14ac:dyDescent="0.3">
      <c r="C40" s="13" t="s">
        <v>25</v>
      </c>
      <c r="D40" s="16">
        <v>0</v>
      </c>
    </row>
    <row r="41" spans="2:4" ht="18" customHeight="1" x14ac:dyDescent="0.3">
      <c r="C41" s="13" t="s">
        <v>26</v>
      </c>
      <c r="D41" s="16">
        <v>0</v>
      </c>
    </row>
    <row r="42" spans="2:4" ht="18" customHeight="1" x14ac:dyDescent="0.3">
      <c r="C42" s="13" t="s">
        <v>27</v>
      </c>
      <c r="D42" s="16"/>
    </row>
    <row r="43" spans="2:4" ht="18" customHeight="1" x14ac:dyDescent="0.3">
      <c r="C43" s="13" t="s">
        <v>28</v>
      </c>
      <c r="D43" s="16"/>
    </row>
    <row r="44" spans="2:4" ht="18" customHeight="1" x14ac:dyDescent="0.3">
      <c r="C44" s="13" t="s">
        <v>29</v>
      </c>
      <c r="D44" s="16">
        <v>0.51937952799999998</v>
      </c>
    </row>
    <row r="45" spans="2:4" ht="18" customHeight="1" x14ac:dyDescent="0.3">
      <c r="C45" s="13" t="s">
        <v>51</v>
      </c>
      <c r="D45" s="16"/>
    </row>
    <row r="46" spans="2:4" ht="18" customHeight="1" x14ac:dyDescent="0.3">
      <c r="C46" s="6" t="s">
        <v>31</v>
      </c>
      <c r="D46" s="16">
        <v>0</v>
      </c>
    </row>
    <row r="47" spans="2:4" ht="18" customHeight="1" x14ac:dyDescent="0.3">
      <c r="C47" s="6" t="s">
        <v>32</v>
      </c>
      <c r="D47" s="16"/>
    </row>
    <row r="48" spans="2:4" ht="18" customHeight="1" x14ac:dyDescent="0.3">
      <c r="C48" s="6" t="s">
        <v>33</v>
      </c>
      <c r="D48" s="16">
        <v>0</v>
      </c>
    </row>
    <row r="49" spans="2:4" ht="18" customHeight="1" x14ac:dyDescent="0.3">
      <c r="C49" s="6" t="s">
        <v>32</v>
      </c>
      <c r="D49" s="16"/>
    </row>
    <row r="50" spans="2:4" ht="18" customHeight="1" x14ac:dyDescent="0.3">
      <c r="C50" s="6" t="s">
        <v>34</v>
      </c>
      <c r="D50" s="16">
        <v>0</v>
      </c>
    </row>
    <row r="51" spans="2:4" ht="18" customHeight="1" x14ac:dyDescent="0.3">
      <c r="D51" s="16"/>
    </row>
    <row r="52" spans="2:4" ht="18" customHeight="1" x14ac:dyDescent="0.3">
      <c r="B52" s="13" t="s">
        <v>35</v>
      </c>
      <c r="D52" s="18">
        <f>SUM(D38:D50)/D29</f>
        <v>2.3067538511098006E-5</v>
      </c>
    </row>
    <row r="53" spans="2:4" ht="18" customHeight="1" x14ac:dyDescent="0.3">
      <c r="B53" s="13" t="s">
        <v>36</v>
      </c>
      <c r="D53" s="20">
        <v>0</v>
      </c>
    </row>
    <row r="54" spans="2:4" ht="18" customHeight="1" x14ac:dyDescent="0.3">
      <c r="B54" s="13" t="s">
        <v>37</v>
      </c>
      <c r="D54" s="18">
        <f>IFERROR(D53-D52,"")</f>
        <v>-2.3067538511098006E-5</v>
      </c>
    </row>
    <row r="55" spans="2:4" ht="18" customHeight="1" x14ac:dyDescent="0.3">
      <c r="B55" s="13"/>
      <c r="D55" s="16"/>
    </row>
    <row r="56" spans="2:4" ht="18" customHeight="1" x14ac:dyDescent="0.3">
      <c r="B56" s="13" t="s">
        <v>38</v>
      </c>
      <c r="D56" s="16">
        <v>0</v>
      </c>
    </row>
    <row r="57" spans="2:4" ht="18" customHeight="1" x14ac:dyDescent="0.3">
      <c r="B57" s="13" t="s">
        <v>39</v>
      </c>
      <c r="D57" s="18">
        <f>IFERROR((SUM(D38:D50)-D56)/D29,0)</f>
        <v>2.3067538511098006E-5</v>
      </c>
    </row>
    <row r="58" spans="2:4" ht="18" customHeight="1" x14ac:dyDescent="0.3">
      <c r="B58" s="13"/>
      <c r="D58" s="16"/>
    </row>
    <row r="59" spans="2:4" ht="18" customHeight="1" x14ac:dyDescent="0.3">
      <c r="B59" s="19" t="s">
        <v>40</v>
      </c>
      <c r="D59" s="16"/>
    </row>
    <row r="60" spans="2:4" ht="18" customHeight="1" x14ac:dyDescent="0.3">
      <c r="B60" s="13" t="s">
        <v>41</v>
      </c>
      <c r="D60" s="21">
        <f>D25+SUM(D38:D50)-D56</f>
        <v>5.0184826080000002</v>
      </c>
    </row>
    <row r="61" spans="2:4" ht="18" customHeight="1" x14ac:dyDescent="0.3">
      <c r="B61" s="13"/>
      <c r="D61" s="16"/>
    </row>
    <row r="62" spans="2:4" ht="18" customHeight="1" x14ac:dyDescent="0.3">
      <c r="B62" s="13" t="s">
        <v>42</v>
      </c>
      <c r="D62" s="18">
        <f>IFERROR(D60/D27,0)</f>
        <v>2.2292189646720372E-4</v>
      </c>
    </row>
    <row r="63" spans="2:4" ht="18" customHeight="1" x14ac:dyDescent="0.3">
      <c r="B63" s="13"/>
      <c r="D63" s="16"/>
    </row>
    <row r="64" spans="2:4" ht="18" customHeight="1" x14ac:dyDescent="0.3">
      <c r="B64" s="19" t="s">
        <v>43</v>
      </c>
      <c r="D64" s="16"/>
    </row>
    <row r="65" spans="2:4" ht="18" customHeight="1" x14ac:dyDescent="0.3">
      <c r="B65" s="13" t="s">
        <v>52</v>
      </c>
      <c r="D65" s="20">
        <v>0</v>
      </c>
    </row>
    <row r="66" spans="2:4" ht="18" customHeight="1" x14ac:dyDescent="0.3">
      <c r="B66" s="13" t="s">
        <v>53</v>
      </c>
      <c r="D66" s="16"/>
    </row>
    <row r="67" spans="2:4" ht="18" customHeight="1" x14ac:dyDescent="0.3">
      <c r="B67" s="13" t="s">
        <v>45</v>
      </c>
      <c r="D67" s="18">
        <f>IFERROR(D31+D65,"יש להשלים את סעיף 18")</f>
        <v>1.9985096479087716E-4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93051-5DC5-4A24-B201-D2AE7852E0C2}">
  <sheetPr>
    <tabColor rgb="FF002060"/>
  </sheetPr>
  <dimension ref="B2:D67"/>
  <sheetViews>
    <sheetView showGridLines="0" rightToLeft="1" zoomScale="80" zoomScaleNormal="80" workbookViewId="0"/>
  </sheetViews>
  <sheetFormatPr defaultColWidth="9.09765625" defaultRowHeight="14.4" x14ac:dyDescent="0.3"/>
  <cols>
    <col min="1" max="1" width="2.69921875" style="6" customWidth="1"/>
    <col min="2" max="2" width="5.69921875" style="15" customWidth="1"/>
    <col min="3" max="3" width="101.09765625" style="6" customWidth="1"/>
    <col min="4" max="4" width="12.3984375" style="5" bestFit="1" customWidth="1"/>
    <col min="5" max="16384" width="9.09765625" style="6"/>
  </cols>
  <sheetData>
    <row r="2" spans="2:4" ht="18" customHeight="1" x14ac:dyDescent="0.35">
      <c r="B2" s="3" t="s">
        <v>57</v>
      </c>
      <c r="C2" s="4"/>
    </row>
    <row r="3" spans="2:4" ht="18" customHeight="1" x14ac:dyDescent="0.35">
      <c r="B3" s="7"/>
    </row>
    <row r="4" spans="2:4" ht="18" customHeight="1" x14ac:dyDescent="0.35">
      <c r="B4" s="8" t="s">
        <v>1</v>
      </c>
      <c r="C4" s="4"/>
      <c r="D4" s="9" t="s">
        <v>2</v>
      </c>
    </row>
    <row r="5" spans="2:4" ht="18" customHeight="1" x14ac:dyDescent="0.3">
      <c r="B5" s="10"/>
      <c r="C5" s="4"/>
      <c r="D5" s="11"/>
    </row>
    <row r="6" spans="2:4" ht="18" customHeight="1" x14ac:dyDescent="0.3">
      <c r="B6" s="12" t="s">
        <v>3</v>
      </c>
    </row>
    <row r="7" spans="2:4" ht="18" customHeight="1" x14ac:dyDescent="0.3">
      <c r="B7" s="13" t="s">
        <v>4</v>
      </c>
      <c r="D7" s="22">
        <f>SUM(D8:D9)</f>
        <v>13.561</v>
      </c>
    </row>
    <row r="8" spans="2:4" ht="18" customHeight="1" x14ac:dyDescent="0.3">
      <c r="C8" s="6" t="s">
        <v>5</v>
      </c>
      <c r="D8" s="23">
        <v>0.68339618999999996</v>
      </c>
    </row>
    <row r="9" spans="2:4" ht="18" customHeight="1" x14ac:dyDescent="0.3">
      <c r="C9" s="6" t="s">
        <v>6</v>
      </c>
      <c r="D9" s="23">
        <f>13.561-D8</f>
        <v>12.87760381</v>
      </c>
    </row>
    <row r="10" spans="2:4" ht="18" customHeight="1" x14ac:dyDescent="0.3">
      <c r="D10" s="23"/>
    </row>
    <row r="11" spans="2:4" ht="18" customHeight="1" x14ac:dyDescent="0.3">
      <c r="B11" s="13" t="s">
        <v>7</v>
      </c>
      <c r="D11" s="22">
        <f>SUM(D12:D13)</f>
        <v>4.2509999999999999E-2</v>
      </c>
    </row>
    <row r="12" spans="2:4" ht="18" customHeight="1" x14ac:dyDescent="0.3">
      <c r="C12" s="15" t="s">
        <v>8</v>
      </c>
      <c r="D12" s="23"/>
    </row>
    <row r="13" spans="2:4" ht="18" customHeight="1" x14ac:dyDescent="0.3">
      <c r="C13" s="15" t="s">
        <v>9</v>
      </c>
      <c r="D13" s="24">
        <v>4.2509999999999999E-2</v>
      </c>
    </row>
    <row r="14" spans="2:4" ht="18" customHeight="1" x14ac:dyDescent="0.3">
      <c r="C14" s="15"/>
      <c r="D14" s="23"/>
    </row>
    <row r="15" spans="2:4" ht="18" customHeight="1" x14ac:dyDescent="0.3">
      <c r="B15" s="13" t="s">
        <v>10</v>
      </c>
      <c r="D15" s="22">
        <v>0</v>
      </c>
    </row>
    <row r="16" spans="2:4" ht="18" customHeight="1" x14ac:dyDescent="0.3">
      <c r="C16" s="15" t="s">
        <v>11</v>
      </c>
      <c r="D16" s="23">
        <v>0</v>
      </c>
    </row>
    <row r="17" spans="2:4" ht="18" customHeight="1" x14ac:dyDescent="0.3">
      <c r="C17" s="15" t="s">
        <v>12</v>
      </c>
      <c r="D17" s="23">
        <v>0</v>
      </c>
    </row>
    <row r="18" spans="2:4" ht="18" customHeight="1" x14ac:dyDescent="0.3">
      <c r="D18" s="23"/>
    </row>
    <row r="19" spans="2:4" ht="18" customHeight="1" x14ac:dyDescent="0.3">
      <c r="B19" s="13" t="s">
        <v>13</v>
      </c>
      <c r="D19" s="23">
        <v>4.9279999999999999</v>
      </c>
    </row>
    <row r="20" spans="2:4" ht="18" customHeight="1" x14ac:dyDescent="0.3">
      <c r="B20" s="13"/>
      <c r="D20" s="23"/>
    </row>
    <row r="21" spans="2:4" ht="18" customHeight="1" x14ac:dyDescent="0.3">
      <c r="B21" s="13" t="s">
        <v>14</v>
      </c>
      <c r="D21" s="23">
        <v>0</v>
      </c>
    </row>
    <row r="22" spans="2:4" ht="18" customHeight="1" x14ac:dyDescent="0.3">
      <c r="B22" s="13"/>
      <c r="D22" s="23"/>
    </row>
    <row r="23" spans="2:4" ht="18" customHeight="1" x14ac:dyDescent="0.3">
      <c r="B23" s="13" t="s">
        <v>15</v>
      </c>
      <c r="D23" s="23">
        <v>0</v>
      </c>
    </row>
    <row r="24" spans="2:4" ht="18" customHeight="1" x14ac:dyDescent="0.3">
      <c r="B24" s="13"/>
      <c r="D24" s="23"/>
    </row>
    <row r="25" spans="2:4" ht="18" customHeight="1" x14ac:dyDescent="0.3">
      <c r="B25" s="13" t="s">
        <v>49</v>
      </c>
      <c r="D25" s="23">
        <f>SUM(D7+D11+D15+D19+D21+D23)</f>
        <v>18.531510000000001</v>
      </c>
    </row>
    <row r="26" spans="2:4" ht="18" customHeight="1" x14ac:dyDescent="0.3">
      <c r="B26" s="13"/>
      <c r="D26" s="23"/>
    </row>
    <row r="27" spans="2:4" ht="18" customHeight="1" x14ac:dyDescent="0.3">
      <c r="B27" s="13" t="s">
        <v>50</v>
      </c>
      <c r="D27" s="23">
        <f>(D28+D29)/2</f>
        <v>13435.927615000001</v>
      </c>
    </row>
    <row r="28" spans="2:4" ht="18" customHeight="1" x14ac:dyDescent="0.3">
      <c r="C28" s="6" t="s">
        <v>17</v>
      </c>
      <c r="D28" s="23">
        <v>16362.767390000001</v>
      </c>
    </row>
    <row r="29" spans="2:4" ht="18" customHeight="1" x14ac:dyDescent="0.3">
      <c r="C29" s="6" t="s">
        <v>18</v>
      </c>
      <c r="D29" s="23">
        <v>10509.08784</v>
      </c>
    </row>
    <row r="30" spans="2:4" ht="18" customHeight="1" x14ac:dyDescent="0.3">
      <c r="D30" s="23"/>
    </row>
    <row r="31" spans="2:4" ht="18" customHeight="1" x14ac:dyDescent="0.3">
      <c r="B31" s="13" t="s">
        <v>19</v>
      </c>
      <c r="D31" s="25">
        <f>IFERROR(D25/D27,0)</f>
        <v>1.3792505088603814E-3</v>
      </c>
    </row>
    <row r="32" spans="2:4" ht="18" customHeight="1" x14ac:dyDescent="0.3">
      <c r="B32" s="13"/>
      <c r="D32" s="23"/>
    </row>
    <row r="33" spans="2:4" ht="18" customHeight="1" x14ac:dyDescent="0.3">
      <c r="B33" s="10" t="s">
        <v>20</v>
      </c>
      <c r="D33" s="23"/>
    </row>
    <row r="34" spans="2:4" ht="18" customHeight="1" x14ac:dyDescent="0.3">
      <c r="B34" s="13" t="s">
        <v>21</v>
      </c>
      <c r="D34" s="23">
        <v>0</v>
      </c>
    </row>
    <row r="35" spans="2:4" ht="18" customHeight="1" x14ac:dyDescent="0.3">
      <c r="B35" s="13"/>
      <c r="D35" s="23"/>
    </row>
    <row r="36" spans="2:4" ht="18" customHeight="1" x14ac:dyDescent="0.3">
      <c r="B36" s="19" t="s">
        <v>20</v>
      </c>
      <c r="D36" s="23"/>
    </row>
    <row r="37" spans="2:4" ht="18" customHeight="1" x14ac:dyDescent="0.3">
      <c r="B37" s="13" t="s">
        <v>22</v>
      </c>
      <c r="D37" s="23">
        <f>SUM(D38:D50)</f>
        <v>2.3077257199999988</v>
      </c>
    </row>
    <row r="38" spans="2:4" ht="18" customHeight="1" x14ac:dyDescent="0.3">
      <c r="C38" s="13" t="s">
        <v>23</v>
      </c>
      <c r="D38" s="23">
        <v>0</v>
      </c>
    </row>
    <row r="39" spans="2:4" ht="18" customHeight="1" x14ac:dyDescent="0.3">
      <c r="C39" s="13" t="s">
        <v>24</v>
      </c>
      <c r="D39" s="23">
        <v>0</v>
      </c>
    </row>
    <row r="40" spans="2:4" ht="18" customHeight="1" x14ac:dyDescent="0.3">
      <c r="C40" s="13" t="s">
        <v>25</v>
      </c>
      <c r="D40" s="23">
        <v>0</v>
      </c>
    </row>
    <row r="41" spans="2:4" ht="18" customHeight="1" x14ac:dyDescent="0.3">
      <c r="C41" s="13" t="s">
        <v>26</v>
      </c>
      <c r="D41" s="23">
        <v>0</v>
      </c>
    </row>
    <row r="42" spans="2:4" ht="18" customHeight="1" x14ac:dyDescent="0.3">
      <c r="C42" s="13" t="s">
        <v>27</v>
      </c>
      <c r="D42" s="23">
        <v>0.36775382999999978</v>
      </c>
    </row>
    <row r="43" spans="2:4" ht="18" customHeight="1" x14ac:dyDescent="0.3">
      <c r="C43" s="13" t="s">
        <v>28</v>
      </c>
      <c r="D43" s="23"/>
    </row>
    <row r="44" spans="2:4" ht="18" customHeight="1" x14ac:dyDescent="0.3">
      <c r="C44" s="13" t="s">
        <v>29</v>
      </c>
      <c r="D44" s="23">
        <v>1.5297900219999987</v>
      </c>
    </row>
    <row r="45" spans="2:4" ht="18" customHeight="1" x14ac:dyDescent="0.3">
      <c r="C45" s="13" t="s">
        <v>51</v>
      </c>
      <c r="D45" s="23"/>
    </row>
    <row r="46" spans="2:4" ht="18" customHeight="1" x14ac:dyDescent="0.3">
      <c r="C46" s="6" t="s">
        <v>31</v>
      </c>
      <c r="D46" s="23">
        <f>0.020181868+0.39</f>
        <v>0.41018186800000001</v>
      </c>
    </row>
    <row r="47" spans="2:4" ht="18" customHeight="1" x14ac:dyDescent="0.3">
      <c r="C47" s="6" t="s">
        <v>32</v>
      </c>
      <c r="D47" s="23"/>
    </row>
    <row r="48" spans="2:4" ht="18" customHeight="1" x14ac:dyDescent="0.3">
      <c r="C48" s="6" t="s">
        <v>33</v>
      </c>
      <c r="D48" s="23"/>
    </row>
    <row r="49" spans="2:4" ht="18" customHeight="1" x14ac:dyDescent="0.3">
      <c r="C49" s="6" t="s">
        <v>32</v>
      </c>
      <c r="D49" s="23"/>
    </row>
    <row r="50" spans="2:4" ht="18" customHeight="1" x14ac:dyDescent="0.3">
      <c r="C50" s="6" t="s">
        <v>34</v>
      </c>
      <c r="D50" s="23">
        <v>0</v>
      </c>
    </row>
    <row r="51" spans="2:4" ht="18" customHeight="1" x14ac:dyDescent="0.3">
      <c r="D51" s="23"/>
    </row>
    <row r="52" spans="2:4" ht="18" customHeight="1" x14ac:dyDescent="0.3">
      <c r="B52" s="13" t="s">
        <v>35</v>
      </c>
      <c r="D52" s="25">
        <f>SUM(D38:D50)/D29</f>
        <v>2.1959334198504507E-4</v>
      </c>
    </row>
    <row r="53" spans="2:4" ht="18" customHeight="1" x14ac:dyDescent="0.3">
      <c r="B53" s="13" t="s">
        <v>36</v>
      </c>
      <c r="D53" s="26">
        <v>5.0000000000000001E-4</v>
      </c>
    </row>
    <row r="54" spans="2:4" ht="18" customHeight="1" x14ac:dyDescent="0.3">
      <c r="B54" s="13" t="s">
        <v>37</v>
      </c>
      <c r="D54" s="25">
        <f>IFERROR(D53-D52,"")</f>
        <v>2.8040665801495494E-4</v>
      </c>
    </row>
    <row r="55" spans="2:4" ht="18" customHeight="1" x14ac:dyDescent="0.3">
      <c r="B55" s="13"/>
      <c r="D55" s="23"/>
    </row>
    <row r="56" spans="2:4" ht="18" customHeight="1" x14ac:dyDescent="0.3">
      <c r="B56" s="13" t="s">
        <v>38</v>
      </c>
      <c r="D56" s="23">
        <v>0</v>
      </c>
    </row>
    <row r="57" spans="2:4" ht="18" customHeight="1" x14ac:dyDescent="0.3">
      <c r="B57" s="13" t="s">
        <v>39</v>
      </c>
      <c r="D57" s="25">
        <f>IFERROR((SUM(D38:D50)-D56)/D29,0)</f>
        <v>2.1959334198504507E-4</v>
      </c>
    </row>
    <row r="58" spans="2:4" ht="18" customHeight="1" x14ac:dyDescent="0.3">
      <c r="B58" s="13"/>
      <c r="D58" s="23"/>
    </row>
    <row r="59" spans="2:4" ht="18" customHeight="1" x14ac:dyDescent="0.3">
      <c r="B59" s="19" t="s">
        <v>40</v>
      </c>
      <c r="D59" s="23"/>
    </row>
    <row r="60" spans="2:4" ht="18" customHeight="1" x14ac:dyDescent="0.3">
      <c r="B60" s="13" t="s">
        <v>41</v>
      </c>
      <c r="D60" s="5">
        <f>D25+SUM(D38:D50)-D56</f>
        <v>20.839235719999998</v>
      </c>
    </row>
    <row r="61" spans="2:4" ht="18" customHeight="1" x14ac:dyDescent="0.3">
      <c r="B61" s="13"/>
      <c r="D61" s="23"/>
    </row>
    <row r="62" spans="2:4" ht="18" customHeight="1" x14ac:dyDescent="0.3">
      <c r="B62" s="13" t="s">
        <v>42</v>
      </c>
      <c r="D62" s="25">
        <f>IFERROR(D60/D27,0)</f>
        <v>1.551008335050486E-3</v>
      </c>
    </row>
    <row r="63" spans="2:4" ht="18" customHeight="1" x14ac:dyDescent="0.3">
      <c r="B63" s="13"/>
      <c r="D63" s="23"/>
    </row>
    <row r="64" spans="2:4" ht="18" customHeight="1" x14ac:dyDescent="0.3">
      <c r="B64" s="19" t="s">
        <v>43</v>
      </c>
      <c r="D64" s="23"/>
    </row>
    <row r="65" spans="2:4" ht="18" customHeight="1" x14ac:dyDescent="0.3">
      <c r="B65" s="13" t="s">
        <v>52</v>
      </c>
      <c r="D65" s="26">
        <v>5.0000000000000001E-4</v>
      </c>
    </row>
    <row r="66" spans="2:4" ht="18" customHeight="1" x14ac:dyDescent="0.3">
      <c r="B66" s="13" t="s">
        <v>53</v>
      </c>
      <c r="D66" s="23"/>
    </row>
    <row r="67" spans="2:4" ht="18" customHeight="1" x14ac:dyDescent="0.3">
      <c r="B67" s="13" t="s">
        <v>45</v>
      </c>
      <c r="D67" s="25">
        <f>IFERROR(D31+D65,"יש להשלים את סעיף 18")</f>
        <v>1.8792505088603814E-3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14033-004A-4437-89DF-AD878511B7B3}">
  <sheetPr>
    <tabColor rgb="FF002060"/>
  </sheetPr>
  <dimension ref="A1:E70"/>
  <sheetViews>
    <sheetView showGridLines="0" rightToLeft="1" zoomScale="85" zoomScaleNormal="85" workbookViewId="0"/>
  </sheetViews>
  <sheetFormatPr defaultColWidth="9.09765625" defaultRowHeight="15.6" x14ac:dyDescent="0.3"/>
  <cols>
    <col min="1" max="1" width="2.69921875" style="37" customWidth="1"/>
    <col min="2" max="2" width="5.59765625" style="41" customWidth="1"/>
    <col min="3" max="3" width="90.69921875" style="37" customWidth="1"/>
    <col min="4" max="4" width="22" style="39" bestFit="1" customWidth="1"/>
    <col min="5" max="16384" width="9.09765625" style="37"/>
  </cols>
  <sheetData>
    <row r="1" spans="2:4" s="28" customFormat="1" ht="18" x14ac:dyDescent="0.35">
      <c r="B1" s="27"/>
      <c r="D1" s="29"/>
    </row>
    <row r="2" spans="2:4" s="28" customFormat="1" ht="18" customHeight="1" x14ac:dyDescent="0.35">
      <c r="B2" s="30" t="s">
        <v>58</v>
      </c>
      <c r="C2" s="31"/>
      <c r="D2" s="29"/>
    </row>
    <row r="3" spans="2:4" s="28" customFormat="1" ht="18" customHeight="1" x14ac:dyDescent="0.35">
      <c r="B3" s="27"/>
      <c r="D3" s="29"/>
    </row>
    <row r="4" spans="2:4" s="28" customFormat="1" ht="18" customHeight="1" x14ac:dyDescent="0.35">
      <c r="B4" s="32" t="s">
        <v>1</v>
      </c>
      <c r="C4" s="31"/>
      <c r="D4" s="33" t="s">
        <v>2</v>
      </c>
    </row>
    <row r="5" spans="2:4" ht="18" customHeight="1" x14ac:dyDescent="0.3">
      <c r="B5" s="34"/>
      <c r="C5" s="35"/>
      <c r="D5" s="36"/>
    </row>
    <row r="6" spans="2:4" ht="18" customHeight="1" x14ac:dyDescent="0.3">
      <c r="B6" s="38" t="s">
        <v>3</v>
      </c>
    </row>
    <row r="7" spans="2:4" ht="18" customHeight="1" x14ac:dyDescent="0.3">
      <c r="B7" s="40" t="s">
        <v>4</v>
      </c>
      <c r="D7" s="16">
        <v>1.976</v>
      </c>
    </row>
    <row r="8" spans="2:4" ht="18" customHeight="1" x14ac:dyDescent="0.3">
      <c r="C8" s="37" t="s">
        <v>5</v>
      </c>
      <c r="D8" s="16">
        <v>0</v>
      </c>
    </row>
    <row r="9" spans="2:4" ht="18" customHeight="1" x14ac:dyDescent="0.3">
      <c r="C9" s="37" t="s">
        <v>6</v>
      </c>
      <c r="D9" s="16">
        <v>1.976</v>
      </c>
    </row>
    <row r="10" spans="2:4" ht="18" customHeight="1" x14ac:dyDescent="0.3">
      <c r="C10" s="42"/>
      <c r="D10" s="16"/>
    </row>
    <row r="11" spans="2:4" ht="18" customHeight="1" x14ac:dyDescent="0.3">
      <c r="B11" s="40" t="s">
        <v>7</v>
      </c>
      <c r="D11" s="14">
        <v>0</v>
      </c>
    </row>
    <row r="12" spans="2:4" ht="18" customHeight="1" x14ac:dyDescent="0.3">
      <c r="C12" s="41" t="s">
        <v>8</v>
      </c>
      <c r="D12" s="16">
        <v>0</v>
      </c>
    </row>
    <row r="13" spans="2:4" ht="18" customHeight="1" x14ac:dyDescent="0.3">
      <c r="C13" s="41" t="s">
        <v>9</v>
      </c>
      <c r="D13" s="16">
        <v>0</v>
      </c>
    </row>
    <row r="14" spans="2:4" ht="18" customHeight="1" x14ac:dyDescent="0.3">
      <c r="C14" s="41"/>
      <c r="D14" s="16"/>
    </row>
    <row r="15" spans="2:4" ht="18" customHeight="1" x14ac:dyDescent="0.3">
      <c r="B15" s="40" t="s">
        <v>10</v>
      </c>
      <c r="D15" s="14">
        <v>0</v>
      </c>
    </row>
    <row r="16" spans="2:4" ht="18" customHeight="1" x14ac:dyDescent="0.3">
      <c r="C16" s="41" t="s">
        <v>11</v>
      </c>
      <c r="D16" s="16">
        <v>0</v>
      </c>
    </row>
    <row r="17" spans="2:4" ht="18" customHeight="1" x14ac:dyDescent="0.3">
      <c r="C17" s="41" t="s">
        <v>12</v>
      </c>
      <c r="D17" s="16">
        <v>0</v>
      </c>
    </row>
    <row r="18" spans="2:4" ht="18" customHeight="1" x14ac:dyDescent="0.3">
      <c r="D18" s="16"/>
    </row>
    <row r="19" spans="2:4" ht="18" customHeight="1" x14ac:dyDescent="0.3">
      <c r="B19" s="40" t="s">
        <v>13</v>
      </c>
      <c r="D19" s="16">
        <v>0</v>
      </c>
    </row>
    <row r="20" spans="2:4" ht="18" customHeight="1" x14ac:dyDescent="0.3">
      <c r="B20" s="40"/>
      <c r="D20" s="16"/>
    </row>
    <row r="21" spans="2:4" ht="18" customHeight="1" x14ac:dyDescent="0.3">
      <c r="B21" s="40" t="s">
        <v>14</v>
      </c>
      <c r="D21" s="16">
        <v>0</v>
      </c>
    </row>
    <row r="22" spans="2:4" ht="18" customHeight="1" x14ac:dyDescent="0.3">
      <c r="B22" s="40"/>
      <c r="D22" s="16"/>
    </row>
    <row r="23" spans="2:4" ht="18" customHeight="1" x14ac:dyDescent="0.3">
      <c r="B23" s="40" t="s">
        <v>15</v>
      </c>
      <c r="D23" s="16">
        <v>0</v>
      </c>
    </row>
    <row r="24" spans="2:4" ht="18" customHeight="1" x14ac:dyDescent="0.3">
      <c r="B24" s="40"/>
      <c r="D24" s="16"/>
    </row>
    <row r="25" spans="2:4" ht="18" customHeight="1" x14ac:dyDescent="0.3">
      <c r="B25" s="40" t="s">
        <v>59</v>
      </c>
      <c r="D25" s="16">
        <f>SUM(D7+D11+D15+D19+D21+D23)</f>
        <v>1.976</v>
      </c>
    </row>
    <row r="26" spans="2:4" ht="18" customHeight="1" x14ac:dyDescent="0.3">
      <c r="B26" s="40"/>
      <c r="D26" s="16"/>
    </row>
    <row r="27" spans="2:4" ht="18" customHeight="1" x14ac:dyDescent="0.3">
      <c r="B27" s="40" t="s">
        <v>16</v>
      </c>
      <c r="D27" s="16">
        <f>(D28+D29)/2</f>
        <v>6205.7033000000001</v>
      </c>
    </row>
    <row r="28" spans="2:4" ht="18" customHeight="1" x14ac:dyDescent="0.3">
      <c r="C28" s="37" t="s">
        <v>60</v>
      </c>
      <c r="D28" s="16">
        <v>6205.7033000000001</v>
      </c>
    </row>
    <row r="29" spans="2:4" ht="18" customHeight="1" x14ac:dyDescent="0.3">
      <c r="C29" s="37" t="s">
        <v>18</v>
      </c>
      <c r="D29" s="16">
        <f>D28</f>
        <v>6205.7033000000001</v>
      </c>
    </row>
    <row r="30" spans="2:4" ht="18" customHeight="1" x14ac:dyDescent="0.3">
      <c r="D30" s="16"/>
    </row>
    <row r="31" spans="2:4" ht="18" customHeight="1" x14ac:dyDescent="0.3">
      <c r="B31" s="40" t="s">
        <v>19</v>
      </c>
      <c r="D31" s="18">
        <f>IFERROR(D25/D27,0)</f>
        <v>3.184167699412893E-4</v>
      </c>
    </row>
    <row r="32" spans="2:4" ht="18" customHeight="1" x14ac:dyDescent="0.3">
      <c r="B32" s="40"/>
      <c r="D32" s="16"/>
    </row>
    <row r="33" spans="2:4" ht="18" customHeight="1" x14ac:dyDescent="0.3">
      <c r="B33" s="34" t="s">
        <v>20</v>
      </c>
      <c r="D33" s="16"/>
    </row>
    <row r="34" spans="2:4" ht="18" customHeight="1" x14ac:dyDescent="0.3">
      <c r="B34" s="40" t="s">
        <v>21</v>
      </c>
      <c r="D34" s="16">
        <v>0</v>
      </c>
    </row>
    <row r="35" spans="2:4" ht="18" customHeight="1" x14ac:dyDescent="0.3">
      <c r="B35" s="40"/>
      <c r="D35" s="16"/>
    </row>
    <row r="36" spans="2:4" ht="18" customHeight="1" x14ac:dyDescent="0.3">
      <c r="B36" s="34" t="s">
        <v>20</v>
      </c>
      <c r="D36" s="16"/>
    </row>
    <row r="37" spans="2:4" ht="18" customHeight="1" x14ac:dyDescent="0.3">
      <c r="B37" s="40" t="s">
        <v>22</v>
      </c>
      <c r="D37" s="16">
        <f>SUM(D38:D50)</f>
        <v>0.43205538100000007</v>
      </c>
    </row>
    <row r="38" spans="2:4" ht="18" customHeight="1" x14ac:dyDescent="0.3">
      <c r="C38" s="40" t="s">
        <v>23</v>
      </c>
      <c r="D38" s="16">
        <v>0</v>
      </c>
    </row>
    <row r="39" spans="2:4" ht="18" customHeight="1" x14ac:dyDescent="0.3">
      <c r="C39" s="40" t="s">
        <v>24</v>
      </c>
      <c r="D39" s="16">
        <v>0</v>
      </c>
    </row>
    <row r="40" spans="2:4" ht="18" customHeight="1" x14ac:dyDescent="0.3">
      <c r="C40" s="40" t="s">
        <v>25</v>
      </c>
      <c r="D40" s="16">
        <v>0</v>
      </c>
    </row>
    <row r="41" spans="2:4" ht="18" customHeight="1" x14ac:dyDescent="0.3">
      <c r="C41" s="40" t="s">
        <v>26</v>
      </c>
      <c r="D41" s="16">
        <v>0</v>
      </c>
    </row>
    <row r="42" spans="2:4" ht="18" customHeight="1" x14ac:dyDescent="0.3">
      <c r="C42" s="40" t="s">
        <v>27</v>
      </c>
      <c r="D42" s="16">
        <v>0</v>
      </c>
    </row>
    <row r="43" spans="2:4" ht="18" customHeight="1" x14ac:dyDescent="0.3">
      <c r="C43" s="40" t="s">
        <v>28</v>
      </c>
      <c r="D43" s="16"/>
    </row>
    <row r="44" spans="2:4" ht="18" customHeight="1" x14ac:dyDescent="0.3">
      <c r="C44" s="40" t="s">
        <v>29</v>
      </c>
      <c r="D44" s="16">
        <v>0.43205538100000007</v>
      </c>
    </row>
    <row r="45" spans="2:4" ht="18" customHeight="1" x14ac:dyDescent="0.3">
      <c r="C45" s="40" t="s">
        <v>51</v>
      </c>
      <c r="D45" s="16"/>
    </row>
    <row r="46" spans="2:4" ht="18" customHeight="1" x14ac:dyDescent="0.3">
      <c r="C46" s="37" t="s">
        <v>31</v>
      </c>
      <c r="D46" s="16">
        <v>0</v>
      </c>
    </row>
    <row r="47" spans="2:4" ht="18" customHeight="1" x14ac:dyDescent="0.3">
      <c r="C47" s="37" t="s">
        <v>32</v>
      </c>
      <c r="D47" s="16"/>
    </row>
    <row r="48" spans="2:4" ht="18" customHeight="1" x14ac:dyDescent="0.3">
      <c r="C48" s="37" t="s">
        <v>33</v>
      </c>
      <c r="D48" s="16">
        <v>0</v>
      </c>
    </row>
    <row r="49" spans="2:5" ht="18" customHeight="1" x14ac:dyDescent="0.3">
      <c r="C49" s="37" t="s">
        <v>32</v>
      </c>
      <c r="D49" s="16"/>
    </row>
    <row r="50" spans="2:5" ht="18" customHeight="1" x14ac:dyDescent="0.3">
      <c r="C50" s="37" t="s">
        <v>34</v>
      </c>
      <c r="D50" s="16">
        <v>0</v>
      </c>
    </row>
    <row r="51" spans="2:5" ht="18" customHeight="1" x14ac:dyDescent="0.3">
      <c r="D51" s="16"/>
    </row>
    <row r="52" spans="2:5" ht="18" customHeight="1" x14ac:dyDescent="0.3">
      <c r="B52" s="40" t="s">
        <v>35</v>
      </c>
      <c r="D52" s="18">
        <f>SUM(D38:D50)/D27</f>
        <v>6.9622307112233368E-5</v>
      </c>
      <c r="E52" s="43"/>
    </row>
    <row r="53" spans="2:5" ht="18" customHeight="1" x14ac:dyDescent="0.3">
      <c r="B53" s="44" t="s">
        <v>36</v>
      </c>
      <c r="D53" s="20">
        <v>1E-3</v>
      </c>
    </row>
    <row r="54" spans="2:5" ht="18" customHeight="1" x14ac:dyDescent="0.3">
      <c r="B54" s="40" t="s">
        <v>61</v>
      </c>
      <c r="D54" s="18">
        <f>IFERROR(D53-D52,"")</f>
        <v>9.3037769288776661E-4</v>
      </c>
    </row>
    <row r="55" spans="2:5" ht="18" customHeight="1" x14ac:dyDescent="0.3">
      <c r="B55" s="40"/>
      <c r="D55" s="16"/>
    </row>
    <row r="56" spans="2:5" ht="18" customHeight="1" x14ac:dyDescent="0.3">
      <c r="B56" s="40" t="s">
        <v>38</v>
      </c>
      <c r="D56" s="16">
        <v>0</v>
      </c>
    </row>
    <row r="57" spans="2:5" ht="18" customHeight="1" x14ac:dyDescent="0.3">
      <c r="B57" s="40" t="s">
        <v>62</v>
      </c>
      <c r="D57" s="18">
        <f>IFERROR((SUM(D38:D50)-D56)/D29,0)</f>
        <v>6.9622307112233368E-5</v>
      </c>
    </row>
    <row r="58" spans="2:5" ht="18" customHeight="1" x14ac:dyDescent="0.3">
      <c r="B58" s="40"/>
      <c r="D58" s="16"/>
    </row>
    <row r="59" spans="2:5" ht="18" customHeight="1" x14ac:dyDescent="0.3">
      <c r="B59" s="34" t="s">
        <v>40</v>
      </c>
      <c r="D59" s="16"/>
    </row>
    <row r="60" spans="2:5" ht="18" customHeight="1" x14ac:dyDescent="0.3">
      <c r="B60" s="40" t="s">
        <v>63</v>
      </c>
      <c r="D60" s="21">
        <f>D25+SUM(D38:D50)-D56</f>
        <v>2.4080553810000001</v>
      </c>
    </row>
    <row r="61" spans="2:5" ht="18" customHeight="1" x14ac:dyDescent="0.3">
      <c r="B61" s="40"/>
      <c r="D61" s="16"/>
    </row>
    <row r="62" spans="2:5" ht="18" customHeight="1" x14ac:dyDescent="0.3">
      <c r="B62" s="40" t="s">
        <v>42</v>
      </c>
      <c r="D62" s="18">
        <f>IFERROR(D60/D27,0)</f>
        <v>3.880390770535227E-4</v>
      </c>
    </row>
    <row r="63" spans="2:5" ht="18" customHeight="1" x14ac:dyDescent="0.3">
      <c r="B63" s="40"/>
      <c r="D63" s="16"/>
    </row>
    <row r="64" spans="2:5" ht="18" customHeight="1" x14ac:dyDescent="0.3">
      <c r="B64" s="34" t="s">
        <v>43</v>
      </c>
      <c r="D64" s="16"/>
    </row>
    <row r="65" spans="1:4" ht="18" customHeight="1" x14ac:dyDescent="0.3">
      <c r="B65" s="40" t="s">
        <v>52</v>
      </c>
      <c r="D65" s="20">
        <v>1E-3</v>
      </c>
    </row>
    <row r="66" spans="1:4" ht="18" customHeight="1" x14ac:dyDescent="0.3">
      <c r="B66" s="40" t="s">
        <v>44</v>
      </c>
      <c r="D66" s="16"/>
    </row>
    <row r="67" spans="1:4" ht="18" customHeight="1" x14ac:dyDescent="0.3">
      <c r="B67" s="44" t="s">
        <v>45</v>
      </c>
      <c r="D67" s="18">
        <f>IFERROR(D31+D65,"יש להשלים את סעיף 18")</f>
        <v>1.3184167699412893E-3</v>
      </c>
    </row>
    <row r="69" spans="1:4" x14ac:dyDescent="0.3">
      <c r="A69" s="1" t="s">
        <v>46</v>
      </c>
      <c r="B69" s="2" t="s">
        <v>47</v>
      </c>
    </row>
    <row r="70" spans="1:4" x14ac:dyDescent="0.3">
      <c r="A70" s="1"/>
      <c r="B70" s="44" t="s">
        <v>241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F874C-0BA1-442B-A3DA-7C0336348C1B}">
  <sheetPr>
    <tabColor rgb="FF002060"/>
  </sheetPr>
  <dimension ref="A1:F48"/>
  <sheetViews>
    <sheetView showGridLines="0" rightToLeft="1" zoomScale="80" zoomScaleNormal="80" workbookViewId="0">
      <selection activeCell="A2" sqref="A2"/>
    </sheetView>
  </sheetViews>
  <sheetFormatPr defaultColWidth="9" defaultRowHeight="14.4" x14ac:dyDescent="0.3"/>
  <cols>
    <col min="1" max="1" width="2.69921875" style="47" customWidth="1"/>
    <col min="2" max="2" width="5.59765625" style="62" customWidth="1"/>
    <col min="3" max="3" width="40.5" style="45" customWidth="1"/>
    <col min="4" max="4" width="12.8984375" style="46" bestFit="1" customWidth="1"/>
    <col min="5" max="16384" width="9" style="47"/>
  </cols>
  <sheetData>
    <row r="1" spans="1:4" x14ac:dyDescent="0.3">
      <c r="A1" s="47" t="s">
        <v>0</v>
      </c>
      <c r="B1" s="45"/>
    </row>
    <row r="2" spans="1:4" ht="18" x14ac:dyDescent="0.35">
      <c r="B2" s="48" t="s">
        <v>64</v>
      </c>
    </row>
    <row r="3" spans="1:4" x14ac:dyDescent="0.3">
      <c r="B3" s="45"/>
      <c r="C3" s="49"/>
      <c r="D3" s="50"/>
    </row>
    <row r="4" spans="1:4" ht="18" x14ac:dyDescent="0.35">
      <c r="B4" s="51" t="s">
        <v>65</v>
      </c>
      <c r="C4" s="49"/>
      <c r="D4" s="50"/>
    </row>
    <row r="5" spans="1:4" ht="15.6" x14ac:dyDescent="0.3">
      <c r="B5" s="52"/>
      <c r="C5" s="49"/>
      <c r="D5" s="50"/>
    </row>
    <row r="6" spans="1:4" ht="15.6" x14ac:dyDescent="0.3">
      <c r="B6" s="53"/>
      <c r="C6" s="54" t="s">
        <v>66</v>
      </c>
      <c r="D6" s="55"/>
    </row>
    <row r="7" spans="1:4" ht="15.6" x14ac:dyDescent="0.3">
      <c r="B7" s="53"/>
      <c r="C7" s="56" t="s">
        <v>67</v>
      </c>
      <c r="D7" s="57" t="s">
        <v>2</v>
      </c>
    </row>
    <row r="8" spans="1:4" x14ac:dyDescent="0.3">
      <c r="B8" s="58" t="s">
        <v>68</v>
      </c>
      <c r="C8" s="59" t="s">
        <v>69</v>
      </c>
      <c r="D8" s="60">
        <v>27.735379499999997</v>
      </c>
    </row>
    <row r="9" spans="1:4" ht="15.6" x14ac:dyDescent="0.3">
      <c r="B9" s="58"/>
      <c r="C9" s="56" t="s">
        <v>70</v>
      </c>
      <c r="D9" s="61"/>
    </row>
    <row r="10" spans="1:4" x14ac:dyDescent="0.3">
      <c r="B10" s="58" t="s">
        <v>68</v>
      </c>
      <c r="C10" s="59" t="s">
        <v>71</v>
      </c>
      <c r="D10" s="61">
        <v>221.72075160999998</v>
      </c>
    </row>
    <row r="11" spans="1:4" x14ac:dyDescent="0.3">
      <c r="B11" s="58" t="s">
        <v>72</v>
      </c>
      <c r="C11" s="59" t="s">
        <v>73</v>
      </c>
      <c r="D11" s="61">
        <v>4.8171500000000007</v>
      </c>
    </row>
    <row r="12" spans="1:4" x14ac:dyDescent="0.3">
      <c r="B12" s="58" t="s">
        <v>74</v>
      </c>
      <c r="C12" s="59" t="s">
        <v>75</v>
      </c>
      <c r="D12" s="61">
        <v>4.4575100000000001</v>
      </c>
    </row>
    <row r="13" spans="1:4" x14ac:dyDescent="0.3">
      <c r="B13" s="58" t="s">
        <v>76</v>
      </c>
      <c r="C13" s="59" t="s">
        <v>77</v>
      </c>
      <c r="D13" s="61">
        <v>11.03440099</v>
      </c>
    </row>
    <row r="14" spans="1:4" x14ac:dyDescent="0.3">
      <c r="B14" s="58" t="s">
        <v>78</v>
      </c>
      <c r="C14" s="59" t="s">
        <v>79</v>
      </c>
      <c r="D14" s="61">
        <v>7.1526899999999989</v>
      </c>
    </row>
    <row r="15" spans="1:4" x14ac:dyDescent="0.3">
      <c r="B15" s="58" t="s">
        <v>80</v>
      </c>
      <c r="C15" s="59" t="s">
        <v>81</v>
      </c>
      <c r="D15" s="61">
        <v>26.479965215999997</v>
      </c>
    </row>
    <row r="16" spans="1:4" x14ac:dyDescent="0.3">
      <c r="B16" s="58" t="s">
        <v>82</v>
      </c>
      <c r="C16" s="59" t="s">
        <v>83</v>
      </c>
      <c r="D16" s="61">
        <v>22.742980437999996</v>
      </c>
    </row>
    <row r="17" spans="2:6" x14ac:dyDescent="0.3">
      <c r="B17" s="58" t="s">
        <v>84</v>
      </c>
      <c r="C17" s="59" t="s">
        <v>85</v>
      </c>
      <c r="D17" s="61">
        <v>7.8095699999999999</v>
      </c>
    </row>
    <row r="18" spans="2:6" x14ac:dyDescent="0.3">
      <c r="B18" s="58" t="s">
        <v>86</v>
      </c>
      <c r="C18" s="59" t="s">
        <v>87</v>
      </c>
      <c r="D18" s="61">
        <v>47.686068479999996</v>
      </c>
    </row>
    <row r="19" spans="2:6" x14ac:dyDescent="0.3">
      <c r="B19" s="58" t="s">
        <v>88</v>
      </c>
      <c r="C19" s="59" t="s">
        <v>89</v>
      </c>
      <c r="D19" s="61">
        <v>29.022092350000001</v>
      </c>
    </row>
    <row r="20" spans="2:6" x14ac:dyDescent="0.3">
      <c r="B20" s="58" t="s">
        <v>90</v>
      </c>
      <c r="C20" s="59" t="s">
        <v>91</v>
      </c>
      <c r="D20" s="61">
        <v>1.1112855579999998</v>
      </c>
    </row>
    <row r="21" spans="2:6" ht="15.6" x14ac:dyDescent="0.3">
      <c r="B21" s="62" t="s">
        <v>92</v>
      </c>
      <c r="C21" s="37" t="s">
        <v>93</v>
      </c>
      <c r="D21" s="39">
        <v>2.8724679699999998</v>
      </c>
      <c r="F21" s="63"/>
    </row>
    <row r="22" spans="2:6" ht="15.6" x14ac:dyDescent="0.3">
      <c r="C22" s="56" t="s">
        <v>94</v>
      </c>
      <c r="D22" s="64">
        <v>414.64231211200007</v>
      </c>
    </row>
    <row r="23" spans="2:6" ht="15.6" x14ac:dyDescent="0.3">
      <c r="B23" s="58"/>
      <c r="C23" s="54"/>
      <c r="D23" s="61"/>
    </row>
    <row r="24" spans="2:6" ht="15.6" x14ac:dyDescent="0.3">
      <c r="B24" s="58"/>
      <c r="C24" s="56" t="s">
        <v>95</v>
      </c>
      <c r="D24" s="64"/>
    </row>
    <row r="25" spans="2:6" ht="15.6" x14ac:dyDescent="0.3">
      <c r="B25" s="58"/>
      <c r="C25" s="56" t="s">
        <v>67</v>
      </c>
      <c r="D25" s="61"/>
    </row>
    <row r="26" spans="2:6" x14ac:dyDescent="0.3">
      <c r="B26" s="58" t="s">
        <v>68</v>
      </c>
      <c r="C26" s="59"/>
      <c r="D26" s="61"/>
    </row>
    <row r="27" spans="2:6" ht="15.6" x14ac:dyDescent="0.3">
      <c r="C27" s="42" t="s">
        <v>70</v>
      </c>
      <c r="D27" s="65"/>
    </row>
    <row r="28" spans="2:6" ht="15.6" x14ac:dyDescent="0.3">
      <c r="C28" s="37" t="s">
        <v>71</v>
      </c>
      <c r="D28" s="66">
        <v>7.51145</v>
      </c>
    </row>
    <row r="29" spans="2:6" ht="15.6" x14ac:dyDescent="0.3">
      <c r="C29" s="56" t="s">
        <v>96</v>
      </c>
      <c r="D29" s="64">
        <v>7.51145</v>
      </c>
    </row>
    <row r="30" spans="2:6" ht="15.6" x14ac:dyDescent="0.3">
      <c r="C30" s="42"/>
      <c r="D30" s="64"/>
    </row>
    <row r="31" spans="2:6" ht="15.6" x14ac:dyDescent="0.3">
      <c r="C31" s="42" t="s">
        <v>97</v>
      </c>
      <c r="D31" s="64"/>
    </row>
    <row r="32" spans="2:6" ht="15.6" x14ac:dyDescent="0.3">
      <c r="C32" s="56" t="s">
        <v>98</v>
      </c>
      <c r="D32" s="64">
        <v>0</v>
      </c>
    </row>
    <row r="33" spans="3:4" ht="15.6" x14ac:dyDescent="0.3">
      <c r="C33" s="42"/>
      <c r="D33" s="64"/>
    </row>
    <row r="34" spans="3:4" ht="15.6" x14ac:dyDescent="0.3">
      <c r="C34" s="42" t="s">
        <v>99</v>
      </c>
      <c r="D34" s="64"/>
    </row>
    <row r="35" spans="3:4" ht="15.6" x14ac:dyDescent="0.3">
      <c r="C35" s="56" t="s">
        <v>100</v>
      </c>
      <c r="D35" s="65">
        <f>5000*1.17/1000</f>
        <v>5.85</v>
      </c>
    </row>
    <row r="36" spans="3:4" ht="15.6" x14ac:dyDescent="0.3">
      <c r="C36" s="56"/>
      <c r="D36" s="64"/>
    </row>
    <row r="37" spans="3:4" ht="15.6" x14ac:dyDescent="0.3">
      <c r="C37" s="56" t="s">
        <v>101</v>
      </c>
      <c r="D37" s="64">
        <v>897.654</v>
      </c>
    </row>
    <row r="38" spans="3:4" ht="15.6" x14ac:dyDescent="0.3">
      <c r="C38" s="42"/>
      <c r="D38" s="64"/>
    </row>
    <row r="39" spans="3:4" ht="15.6" x14ac:dyDescent="0.3">
      <c r="C39" s="54" t="s">
        <v>102</v>
      </c>
      <c r="D39" s="67"/>
    </row>
    <row r="40" spans="3:4" ht="15.6" x14ac:dyDescent="0.3">
      <c r="C40" s="56" t="s">
        <v>103</v>
      </c>
      <c r="D40" s="64">
        <v>0</v>
      </c>
    </row>
    <row r="41" spans="3:4" ht="15.6" x14ac:dyDescent="0.3">
      <c r="C41" s="68"/>
      <c r="D41" s="64"/>
    </row>
    <row r="42" spans="3:4" ht="15.6" x14ac:dyDescent="0.3">
      <c r="C42" s="56" t="s">
        <v>104</v>
      </c>
    </row>
    <row r="43" spans="3:4" ht="15.6" x14ac:dyDescent="0.3">
      <c r="C43" s="56" t="s">
        <v>105</v>
      </c>
      <c r="D43" s="64">
        <v>0</v>
      </c>
    </row>
    <row r="44" spans="3:4" ht="15.6" x14ac:dyDescent="0.3">
      <c r="C44" s="68"/>
      <c r="D44" s="64"/>
    </row>
    <row r="45" spans="3:4" ht="15.6" x14ac:dyDescent="0.3">
      <c r="C45" s="54" t="s">
        <v>106</v>
      </c>
      <c r="D45" s="67"/>
    </row>
    <row r="46" spans="3:4" x14ac:dyDescent="0.3">
      <c r="C46" s="45" t="s">
        <v>107</v>
      </c>
      <c r="D46" s="46">
        <v>0</v>
      </c>
    </row>
    <row r="47" spans="3:4" ht="15.6" x14ac:dyDescent="0.3">
      <c r="C47" s="54"/>
      <c r="D47" s="69"/>
    </row>
    <row r="48" spans="3:4" ht="15.6" x14ac:dyDescent="0.3">
      <c r="C48" s="70" t="s">
        <v>108</v>
      </c>
      <c r="D48" s="71">
        <f>D37+D35+D29+D22</f>
        <v>1325.657762112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3A337-7B1E-4A7E-A534-45BBDBC01042}">
  <sheetPr>
    <tabColor rgb="FF002060"/>
  </sheetPr>
  <dimension ref="A1:S169"/>
  <sheetViews>
    <sheetView showGridLines="0" rightToLeft="1" zoomScale="80" zoomScaleNormal="80" workbookViewId="0">
      <selection activeCell="D34" sqref="D34"/>
    </sheetView>
  </sheetViews>
  <sheetFormatPr defaultColWidth="9" defaultRowHeight="15.6" x14ac:dyDescent="0.3"/>
  <cols>
    <col min="1" max="1" width="4.69921875" style="81" customWidth="1"/>
    <col min="2" max="2" width="42.19921875" style="82" customWidth="1"/>
    <col min="3" max="3" width="18.3984375" style="83" customWidth="1"/>
    <col min="4" max="4" width="55.8984375" style="83" customWidth="1"/>
    <col min="5" max="5" width="18.3984375" style="84" bestFit="1" customWidth="1"/>
    <col min="6" max="6" width="12.59765625" style="84" bestFit="1" customWidth="1"/>
    <col min="7" max="7" width="12" style="84" bestFit="1" customWidth="1"/>
    <col min="8" max="8" width="7.3984375" style="84" bestFit="1" customWidth="1"/>
    <col min="9" max="9" width="10.19921875" style="84" bestFit="1" customWidth="1"/>
    <col min="10" max="10" width="16.59765625" style="84" bestFit="1" customWidth="1"/>
    <col min="11" max="11" width="11.59765625" style="84" bestFit="1" customWidth="1"/>
    <col min="12" max="12" width="22.5" style="84" bestFit="1" customWidth="1"/>
    <col min="13" max="13" width="5.59765625" style="84" bestFit="1" customWidth="1"/>
    <col min="14" max="14" width="18.3984375" style="84" bestFit="1" customWidth="1"/>
    <col min="15" max="15" width="4.5" style="84" bestFit="1" customWidth="1"/>
    <col min="16" max="16" width="8.59765625" style="84" bestFit="1" customWidth="1"/>
    <col min="17" max="17" width="6.09765625" style="84" bestFit="1" customWidth="1"/>
    <col min="18" max="18" width="9.09765625" style="84" bestFit="1" customWidth="1"/>
    <col min="19" max="19" width="8.19921875" style="84" bestFit="1" customWidth="1"/>
    <col min="20" max="16384" width="9" style="84"/>
  </cols>
  <sheetData>
    <row r="1" spans="1:19" s="75" customFormat="1" ht="18" x14ac:dyDescent="0.35">
      <c r="A1" s="72" t="s">
        <v>0</v>
      </c>
      <c r="B1" s="73"/>
      <c r="C1" s="73"/>
      <c r="D1" s="73"/>
    </row>
    <row r="2" spans="1:19" s="75" customFormat="1" ht="18" x14ac:dyDescent="0.35">
      <c r="A2" s="76"/>
      <c r="B2" s="77" t="s">
        <v>109</v>
      </c>
      <c r="C2" s="73"/>
      <c r="D2" s="73"/>
    </row>
    <row r="3" spans="1:19" s="75" customFormat="1" ht="18" x14ac:dyDescent="0.35">
      <c r="A3" s="76"/>
      <c r="B3" s="78"/>
      <c r="C3" s="73"/>
      <c r="D3" s="73"/>
    </row>
    <row r="4" spans="1:19" s="75" customFormat="1" ht="18" x14ac:dyDescent="0.35">
      <c r="A4" s="76"/>
      <c r="B4" s="79" t="s">
        <v>110</v>
      </c>
      <c r="C4" s="80" t="s">
        <v>111</v>
      </c>
      <c r="D4" s="73"/>
    </row>
    <row r="6" spans="1:19" x14ac:dyDescent="0.3">
      <c r="B6" s="56" t="s">
        <v>112</v>
      </c>
      <c r="C6" s="85">
        <v>45657</v>
      </c>
      <c r="D6" s="86"/>
    </row>
    <row r="7" spans="1:19" x14ac:dyDescent="0.3">
      <c r="A7" s="87"/>
      <c r="B7" s="88" t="s">
        <v>113</v>
      </c>
      <c r="C7" s="89">
        <v>210.48004</v>
      </c>
      <c r="D7" s="120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 x14ac:dyDescent="0.3">
      <c r="A8" s="87"/>
      <c r="B8" s="90" t="s">
        <v>114</v>
      </c>
      <c r="C8" s="89">
        <v>56.376840000000001</v>
      </c>
      <c r="D8" s="120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 x14ac:dyDescent="0.3">
      <c r="A9" s="87"/>
      <c r="B9" s="90" t="s">
        <v>115</v>
      </c>
      <c r="C9" s="89">
        <v>86.062860000000001</v>
      </c>
      <c r="D9" s="120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 x14ac:dyDescent="0.3">
      <c r="A10" s="87"/>
      <c r="B10" s="90" t="s">
        <v>116</v>
      </c>
      <c r="C10" s="89">
        <v>118.0342517</v>
      </c>
      <c r="D10" s="12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 x14ac:dyDescent="0.3">
      <c r="A11" s="87"/>
      <c r="B11" s="90" t="s">
        <v>117</v>
      </c>
      <c r="C11" s="89">
        <v>152.92522500000001</v>
      </c>
      <c r="D11" s="120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 x14ac:dyDescent="0.3">
      <c r="A12" s="87"/>
      <c r="B12" s="90" t="s">
        <v>118</v>
      </c>
      <c r="C12" s="89">
        <v>166.995261</v>
      </c>
      <c r="D12" s="120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 x14ac:dyDescent="0.3">
      <c r="A13" s="87"/>
      <c r="B13" s="90" t="s">
        <v>119</v>
      </c>
      <c r="C13" s="89">
        <v>88.016890000000004</v>
      </c>
      <c r="D13" s="120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 x14ac:dyDescent="0.3">
      <c r="A14" s="87"/>
      <c r="B14" s="90" t="s">
        <v>120</v>
      </c>
      <c r="C14" s="89">
        <v>49.072000000000003</v>
      </c>
      <c r="D14" s="120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 x14ac:dyDescent="0.3">
      <c r="A15" s="87"/>
      <c r="B15" s="90" t="s">
        <v>121</v>
      </c>
      <c r="C15" s="89">
        <v>76.14</v>
      </c>
      <c r="D15" s="120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 x14ac:dyDescent="0.3">
      <c r="A16" s="87"/>
      <c r="B16" s="90" t="s">
        <v>122</v>
      </c>
      <c r="C16" s="89">
        <v>58.789000000000001</v>
      </c>
      <c r="D16" s="120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 x14ac:dyDescent="0.3">
      <c r="A17" s="87"/>
      <c r="B17" s="90" t="s">
        <v>123</v>
      </c>
      <c r="C17" s="89">
        <v>30.571000000000002</v>
      </c>
      <c r="D17" s="120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 x14ac:dyDescent="0.3">
      <c r="A18" s="87"/>
      <c r="B18" s="90" t="s">
        <v>124</v>
      </c>
      <c r="C18" s="89">
        <v>62.105196999999997</v>
      </c>
      <c r="D18" s="120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 x14ac:dyDescent="0.3">
      <c r="A19" s="87"/>
      <c r="B19" s="90" t="s">
        <v>125</v>
      </c>
      <c r="C19" s="89">
        <v>14.959766999999999</v>
      </c>
      <c r="D19" s="120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 x14ac:dyDescent="0.3">
      <c r="A20" s="90"/>
      <c r="B20" s="90" t="s">
        <v>126</v>
      </c>
      <c r="C20" s="89">
        <v>3.570176</v>
      </c>
      <c r="D20" s="1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 x14ac:dyDescent="0.3">
      <c r="A21" s="87"/>
      <c r="B21" s="90" t="s">
        <v>127</v>
      </c>
      <c r="C21" s="89">
        <v>93.838999999999999</v>
      </c>
      <c r="D21" s="120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 x14ac:dyDescent="0.3">
      <c r="A22" s="87"/>
      <c r="B22" s="90" t="s">
        <v>128</v>
      </c>
      <c r="C22" s="89">
        <v>52.734999999999999</v>
      </c>
      <c r="D22" s="120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 x14ac:dyDescent="0.3">
      <c r="A23" s="90"/>
      <c r="B23" s="90" t="s">
        <v>129</v>
      </c>
      <c r="C23" s="89">
        <v>143.80799999999999</v>
      </c>
      <c r="D23" s="120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1:19" x14ac:dyDescent="0.3">
      <c r="A24" s="87"/>
      <c r="B24" s="90" t="s">
        <v>130</v>
      </c>
      <c r="C24" s="89">
        <v>162.404</v>
      </c>
      <c r="D24" s="120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 x14ac:dyDescent="0.3">
      <c r="A25" s="87"/>
      <c r="B25" s="90" t="s">
        <v>131</v>
      </c>
      <c r="C25" s="89">
        <v>65.251000000000005</v>
      </c>
      <c r="D25" s="120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 x14ac:dyDescent="0.3">
      <c r="A26" s="87"/>
      <c r="B26" s="90" t="s">
        <v>132</v>
      </c>
      <c r="C26" s="89">
        <v>61.706000000000003</v>
      </c>
      <c r="D26" s="120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 x14ac:dyDescent="0.3">
      <c r="A27" s="91"/>
      <c r="B27" s="90" t="s">
        <v>133</v>
      </c>
      <c r="C27" s="89">
        <v>1.788</v>
      </c>
      <c r="D27" s="120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 x14ac:dyDescent="0.3">
      <c r="A28" s="91"/>
      <c r="B28" s="90"/>
      <c r="C28" s="89"/>
      <c r="D28" s="120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 x14ac:dyDescent="0.3">
      <c r="A29" s="91"/>
      <c r="B29" s="90"/>
      <c r="C29" s="89"/>
      <c r="D29" s="120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 x14ac:dyDescent="0.3">
      <c r="A30" s="91"/>
      <c r="B30" s="90"/>
      <c r="C30" s="89"/>
      <c r="D30" s="12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19" x14ac:dyDescent="0.3">
      <c r="A31" s="92"/>
      <c r="B31" s="93" t="s">
        <v>135</v>
      </c>
      <c r="C31" s="94">
        <f>SUM(C7:C27)</f>
        <v>1755.6295076999997</v>
      </c>
      <c r="D31" s="12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19" x14ac:dyDescent="0.3">
      <c r="A32" s="95"/>
      <c r="B32" s="82" t="s">
        <v>136</v>
      </c>
      <c r="D32" s="117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 x14ac:dyDescent="0.3">
      <c r="A33" s="95"/>
      <c r="B33" s="56"/>
      <c r="C33" s="96"/>
      <c r="D33" s="122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19" x14ac:dyDescent="0.3">
      <c r="A34" s="95"/>
      <c r="B34" s="56" t="s">
        <v>137</v>
      </c>
      <c r="C34" s="85">
        <f>C6</f>
        <v>45657</v>
      </c>
      <c r="D34" s="86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 x14ac:dyDescent="0.3">
      <c r="A35" s="95"/>
      <c r="B35" s="97" t="s">
        <v>138</v>
      </c>
      <c r="C35" s="89">
        <v>47.871245999999999</v>
      </c>
      <c r="D35" s="120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19" x14ac:dyDescent="0.3">
      <c r="A36" s="95"/>
      <c r="B36" s="97" t="s">
        <v>139</v>
      </c>
      <c r="C36" s="89">
        <v>73.541089999999997</v>
      </c>
      <c r="D36" s="120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19" x14ac:dyDescent="0.3">
      <c r="A37" s="95"/>
      <c r="B37" s="97" t="s">
        <v>140</v>
      </c>
      <c r="C37" s="89">
        <v>62.139193999999996</v>
      </c>
      <c r="D37" s="120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 x14ac:dyDescent="0.3">
      <c r="A38" s="95"/>
      <c r="B38" s="97" t="s">
        <v>141</v>
      </c>
      <c r="C38" s="89">
        <v>27.4147839</v>
      </c>
      <c r="D38" s="120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19" x14ac:dyDescent="0.3">
      <c r="A39" s="95"/>
      <c r="B39" s="97" t="s">
        <v>142</v>
      </c>
      <c r="C39" s="89">
        <v>221.91671008</v>
      </c>
      <c r="D39" s="120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19" x14ac:dyDescent="0.3">
      <c r="A40" s="95"/>
      <c r="B40" s="97" t="s">
        <v>143</v>
      </c>
      <c r="C40" s="89">
        <v>43.785559800000001</v>
      </c>
      <c r="D40" s="12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19" x14ac:dyDescent="0.3">
      <c r="A41" s="98"/>
      <c r="B41" s="97" t="s">
        <v>144</v>
      </c>
      <c r="C41" s="89">
        <v>19.385275547999999</v>
      </c>
      <c r="D41" s="120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19" x14ac:dyDescent="0.3">
      <c r="A42" s="95"/>
      <c r="B42" s="97" t="s">
        <v>145</v>
      </c>
      <c r="C42" s="89">
        <v>40.114387999999998</v>
      </c>
      <c r="D42" s="120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19" x14ac:dyDescent="0.3">
      <c r="A43" s="98"/>
      <c r="B43" s="97" t="s">
        <v>146</v>
      </c>
      <c r="C43" s="89">
        <v>48.946142000000002</v>
      </c>
      <c r="D43" s="120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 x14ac:dyDescent="0.3">
      <c r="A44" s="95"/>
      <c r="B44" s="97" t="s">
        <v>147</v>
      </c>
      <c r="C44" s="89">
        <v>9.1035470000000007</v>
      </c>
      <c r="D44" s="120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 x14ac:dyDescent="0.3">
      <c r="A45" s="95"/>
      <c r="B45" s="97" t="s">
        <v>148</v>
      </c>
      <c r="C45" s="89">
        <v>33.343451000000002</v>
      </c>
      <c r="D45" s="120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19" x14ac:dyDescent="0.3">
      <c r="A46" s="98"/>
      <c r="B46" s="97" t="s">
        <v>149</v>
      </c>
      <c r="C46" s="89">
        <v>84.579651999999996</v>
      </c>
      <c r="D46" s="120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1:19" x14ac:dyDescent="0.3">
      <c r="A47" s="98"/>
      <c r="B47" s="97" t="s">
        <v>150</v>
      </c>
      <c r="C47" s="89">
        <v>65.1980559</v>
      </c>
      <c r="D47" s="120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1:19" x14ac:dyDescent="0.3">
      <c r="A48" s="95"/>
      <c r="B48" s="90" t="s">
        <v>151</v>
      </c>
      <c r="C48" s="89">
        <v>45.637781000000004</v>
      </c>
      <c r="D48" s="120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  <row r="49" spans="1:19" x14ac:dyDescent="0.3">
      <c r="A49" s="95"/>
      <c r="B49" s="97" t="s">
        <v>152</v>
      </c>
      <c r="C49" s="89">
        <v>58.454737000000002</v>
      </c>
      <c r="D49" s="120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 x14ac:dyDescent="0.3">
      <c r="A50" s="95"/>
      <c r="B50" s="97" t="s">
        <v>153</v>
      </c>
      <c r="C50" s="89">
        <v>22.195499999999999</v>
      </c>
      <c r="D50" s="12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1:19" x14ac:dyDescent="0.3">
      <c r="A51" s="95"/>
      <c r="B51" s="97" t="s">
        <v>154</v>
      </c>
      <c r="C51" s="89">
        <v>119.85732999999999</v>
      </c>
      <c r="D51" s="120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1:19" x14ac:dyDescent="0.3">
      <c r="A52" s="95"/>
      <c r="B52" s="97" t="s">
        <v>155</v>
      </c>
      <c r="C52" s="89">
        <v>20.043212</v>
      </c>
      <c r="D52" s="120"/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1:19" x14ac:dyDescent="0.3">
      <c r="A53" s="95"/>
      <c r="B53" s="97" t="s">
        <v>156</v>
      </c>
      <c r="C53" s="89">
        <v>35.994681999999997</v>
      </c>
      <c r="D53" s="120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1:19" x14ac:dyDescent="0.3">
      <c r="A54" s="95"/>
      <c r="B54" s="97" t="s">
        <v>157</v>
      </c>
      <c r="C54" s="89">
        <v>32.786203999999998</v>
      </c>
      <c r="D54" s="120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 x14ac:dyDescent="0.3">
      <c r="A55" s="95"/>
      <c r="B55" s="97" t="s">
        <v>158</v>
      </c>
      <c r="C55" s="89">
        <v>94.372895889999995</v>
      </c>
      <c r="D55" s="120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</row>
    <row r="56" spans="1:19" x14ac:dyDescent="0.3">
      <c r="A56" s="95"/>
      <c r="B56" s="97" t="s">
        <v>159</v>
      </c>
      <c r="C56" s="89">
        <v>47.626788999999995</v>
      </c>
      <c r="D56" s="120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</row>
    <row r="57" spans="1:19" x14ac:dyDescent="0.3">
      <c r="A57" s="95"/>
      <c r="B57" s="97" t="s">
        <v>160</v>
      </c>
      <c r="C57" s="89">
        <v>39.060248999999999</v>
      </c>
      <c r="D57" s="120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</row>
    <row r="58" spans="1:19" x14ac:dyDescent="0.3">
      <c r="A58" s="95"/>
      <c r="B58" s="97" t="s">
        <v>161</v>
      </c>
      <c r="C58" s="89">
        <v>73.766944000000009</v>
      </c>
      <c r="D58" s="120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</row>
    <row r="59" spans="1:19" x14ac:dyDescent="0.3">
      <c r="A59" s="95"/>
      <c r="B59" s="97" t="s">
        <v>162</v>
      </c>
      <c r="C59" s="89">
        <v>84.985460489999994</v>
      </c>
      <c r="D59" s="120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 x14ac:dyDescent="0.3">
      <c r="A60" s="98"/>
      <c r="B60" s="97" t="s">
        <v>163</v>
      </c>
      <c r="C60" s="89">
        <v>28.294466</v>
      </c>
      <c r="D60" s="12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  <row r="61" spans="1:19" x14ac:dyDescent="0.3">
      <c r="A61" s="95"/>
      <c r="B61" s="97" t="s">
        <v>164</v>
      </c>
      <c r="C61" s="89">
        <v>1.879219</v>
      </c>
      <c r="D61" s="120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 x14ac:dyDescent="0.3">
      <c r="A62" s="98"/>
      <c r="B62" s="99" t="s">
        <v>165</v>
      </c>
      <c r="C62" s="89">
        <v>55.679756120000008</v>
      </c>
      <c r="D62" s="120"/>
      <c r="E62"/>
      <c r="F62" s="124"/>
      <c r="G62"/>
      <c r="H62"/>
      <c r="I62"/>
      <c r="J62"/>
      <c r="K62"/>
      <c r="L62"/>
      <c r="M62"/>
      <c r="N62"/>
      <c r="O62"/>
      <c r="P62"/>
      <c r="Q62"/>
      <c r="R62"/>
      <c r="S62"/>
    </row>
    <row r="63" spans="1:19" x14ac:dyDescent="0.3">
      <c r="A63" s="95"/>
      <c r="B63" s="97" t="s">
        <v>166</v>
      </c>
      <c r="C63" s="89">
        <v>20.067060999999999</v>
      </c>
      <c r="D63" s="120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1:19" x14ac:dyDescent="0.3">
      <c r="A64" s="95"/>
      <c r="B64" s="97" t="s">
        <v>167</v>
      </c>
      <c r="C64" s="89">
        <v>7.3825780000000005</v>
      </c>
      <c r="D64" s="120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</row>
    <row r="65" spans="2:19" x14ac:dyDescent="0.3">
      <c r="B65" s="97" t="s">
        <v>168</v>
      </c>
      <c r="C65" s="89">
        <v>8.8889464</v>
      </c>
      <c r="D65" s="120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</row>
    <row r="66" spans="2:19" x14ac:dyDescent="0.3">
      <c r="B66" s="97" t="s">
        <v>169</v>
      </c>
      <c r="C66" s="89">
        <v>12.0827689</v>
      </c>
      <c r="D66" s="120"/>
      <c r="E66"/>
      <c r="F66" s="125"/>
      <c r="G66"/>
      <c r="H66"/>
      <c r="I66"/>
      <c r="J66"/>
      <c r="K66"/>
      <c r="L66"/>
      <c r="M66"/>
      <c r="N66"/>
      <c r="O66"/>
      <c r="P66"/>
      <c r="Q66"/>
      <c r="R66"/>
      <c r="S66"/>
    </row>
    <row r="67" spans="2:19" x14ac:dyDescent="0.3">
      <c r="B67" s="97" t="s">
        <v>170</v>
      </c>
      <c r="C67" s="89">
        <v>12.007355</v>
      </c>
      <c r="D67" s="120"/>
      <c r="E67"/>
      <c r="F67" s="126"/>
      <c r="G67"/>
      <c r="H67"/>
      <c r="I67"/>
      <c r="J67"/>
      <c r="K67"/>
      <c r="L67"/>
      <c r="M67"/>
      <c r="N67"/>
      <c r="O67"/>
      <c r="P67"/>
      <c r="Q67"/>
      <c r="R67"/>
      <c r="S67"/>
    </row>
    <row r="68" spans="2:19" x14ac:dyDescent="0.3">
      <c r="B68" s="97" t="s">
        <v>171</v>
      </c>
      <c r="C68" s="89">
        <v>15.124941000000002</v>
      </c>
      <c r="D68" s="120"/>
      <c r="E68"/>
      <c r="F68"/>
      <c r="G68"/>
    </row>
    <row r="69" spans="2:19" x14ac:dyDescent="0.3">
      <c r="B69" s="97" t="s">
        <v>172</v>
      </c>
      <c r="C69" s="89">
        <v>16.202413</v>
      </c>
      <c r="D69" s="120"/>
      <c r="E69"/>
      <c r="F69"/>
      <c r="G69"/>
    </row>
    <row r="70" spans="2:19" x14ac:dyDescent="0.3">
      <c r="B70" s="97"/>
      <c r="C70" s="89"/>
      <c r="D70" s="120"/>
      <c r="E70"/>
      <c r="F70"/>
      <c r="G70"/>
    </row>
    <row r="71" spans="2:19" x14ac:dyDescent="0.3">
      <c r="B71" s="93" t="s">
        <v>173</v>
      </c>
      <c r="C71" s="100">
        <f>SUM(C35:C69)</f>
        <v>1629.7303840279997</v>
      </c>
      <c r="D71" s="123"/>
      <c r="E71"/>
      <c r="F71"/>
      <c r="G71"/>
    </row>
    <row r="72" spans="2:19" x14ac:dyDescent="0.3">
      <c r="B72" s="56"/>
      <c r="C72" s="100"/>
      <c r="D72" s="101"/>
      <c r="E72"/>
      <c r="F72"/>
      <c r="G72"/>
    </row>
    <row r="73" spans="2:19" x14ac:dyDescent="0.3">
      <c r="B73" s="56" t="s">
        <v>174</v>
      </c>
      <c r="D73" s="117"/>
      <c r="E73"/>
      <c r="F73"/>
      <c r="G73"/>
    </row>
    <row r="74" spans="2:19" x14ac:dyDescent="0.3">
      <c r="B74" s="79" t="s">
        <v>175</v>
      </c>
      <c r="C74" s="102"/>
      <c r="D74" s="102"/>
      <c r="E74"/>
      <c r="F74"/>
      <c r="G74"/>
    </row>
    <row r="75" spans="2:19" x14ac:dyDescent="0.3">
      <c r="B75" s="97"/>
      <c r="C75" s="102"/>
      <c r="D75" s="102"/>
    </row>
    <row r="76" spans="2:19" x14ac:dyDescent="0.3">
      <c r="B76" s="56" t="s">
        <v>176</v>
      </c>
      <c r="C76" s="102"/>
      <c r="D76" s="102"/>
    </row>
    <row r="77" spans="2:19" x14ac:dyDescent="0.3">
      <c r="B77" s="79" t="s">
        <v>177</v>
      </c>
      <c r="C77" s="102"/>
      <c r="D77" s="102"/>
    </row>
    <row r="78" spans="2:19" x14ac:dyDescent="0.3">
      <c r="B78" s="97"/>
      <c r="C78" s="102"/>
      <c r="D78" s="102"/>
    </row>
    <row r="79" spans="2:19" x14ac:dyDescent="0.3">
      <c r="B79" s="56" t="s">
        <v>178</v>
      </c>
      <c r="C79" s="102"/>
      <c r="D79" s="102"/>
    </row>
    <row r="80" spans="2:19" x14ac:dyDescent="0.3">
      <c r="B80" s="56" t="s">
        <v>179</v>
      </c>
      <c r="C80" s="102"/>
      <c r="D80" s="102"/>
    </row>
    <row r="81" spans="2:4" x14ac:dyDescent="0.3">
      <c r="B81" s="97" t="s">
        <v>180</v>
      </c>
      <c r="C81" s="102">
        <v>73.400052453999791</v>
      </c>
      <c r="D81" s="102"/>
    </row>
    <row r="82" spans="2:4" x14ac:dyDescent="0.3">
      <c r="B82" s="97" t="s">
        <v>181</v>
      </c>
      <c r="C82" s="102">
        <v>12.382078729999991</v>
      </c>
      <c r="D82" s="102"/>
    </row>
    <row r="83" spans="2:4" x14ac:dyDescent="0.3">
      <c r="B83" s="97" t="s">
        <v>182</v>
      </c>
      <c r="C83" s="102">
        <v>9.4195193839999991</v>
      </c>
      <c r="D83" s="102"/>
    </row>
    <row r="84" spans="2:4" x14ac:dyDescent="0.3">
      <c r="B84" s="97" t="s">
        <v>183</v>
      </c>
      <c r="C84" s="102">
        <v>8.0586201440000256</v>
      </c>
      <c r="D84" s="102"/>
    </row>
    <row r="85" spans="2:4" x14ac:dyDescent="0.3">
      <c r="B85" s="97" t="s">
        <v>184</v>
      </c>
      <c r="C85" s="102">
        <v>19.236107281999992</v>
      </c>
      <c r="D85" s="102"/>
    </row>
    <row r="86" spans="2:4" x14ac:dyDescent="0.3">
      <c r="B86" s="97" t="s">
        <v>185</v>
      </c>
      <c r="C86" s="102">
        <v>0.75435328499999932</v>
      </c>
      <c r="D86" s="102"/>
    </row>
    <row r="87" spans="2:4" x14ac:dyDescent="0.3">
      <c r="B87" s="97" t="s">
        <v>186</v>
      </c>
      <c r="C87" s="102">
        <v>33.334824638000015</v>
      </c>
      <c r="D87" s="102"/>
    </row>
    <row r="88" spans="2:4" x14ac:dyDescent="0.3">
      <c r="B88" s="97" t="s">
        <v>187</v>
      </c>
      <c r="C88" s="102">
        <v>65.064867595000024</v>
      </c>
      <c r="D88" s="102"/>
    </row>
    <row r="89" spans="2:4" x14ac:dyDescent="0.3">
      <c r="B89" s="97" t="s">
        <v>188</v>
      </c>
      <c r="C89" s="102">
        <v>4.3943593189999968</v>
      </c>
      <c r="D89" s="102"/>
    </row>
    <row r="90" spans="2:4" x14ac:dyDescent="0.3">
      <c r="B90" s="97" t="s">
        <v>189</v>
      </c>
      <c r="C90" s="102">
        <v>12.04942649799999</v>
      </c>
      <c r="D90" s="102"/>
    </row>
    <row r="91" spans="2:4" x14ac:dyDescent="0.3">
      <c r="B91" s="97" t="s">
        <v>190</v>
      </c>
      <c r="C91" s="102">
        <v>0.57816955400000003</v>
      </c>
      <c r="D91" s="102"/>
    </row>
    <row r="92" spans="2:4" x14ac:dyDescent="0.3">
      <c r="B92" s="97" t="s">
        <v>191</v>
      </c>
      <c r="C92" s="102">
        <v>3.443341271</v>
      </c>
      <c r="D92" s="102"/>
    </row>
    <row r="93" spans="2:4" x14ac:dyDescent="0.3">
      <c r="B93" s="97" t="s">
        <v>192</v>
      </c>
      <c r="C93" s="102">
        <f>32.9994521779999+35.13005933</f>
        <v>68.129511507999894</v>
      </c>
      <c r="D93" s="102"/>
    </row>
    <row r="94" spans="2:4" x14ac:dyDescent="0.3">
      <c r="B94" s="97" t="s">
        <v>193</v>
      </c>
      <c r="C94" s="102">
        <v>14.641559154999989</v>
      </c>
      <c r="D94" s="102"/>
    </row>
    <row r="95" spans="2:4" x14ac:dyDescent="0.3">
      <c r="B95" s="97" t="s">
        <v>194</v>
      </c>
      <c r="C95" s="102">
        <v>14.671185353000023</v>
      </c>
      <c r="D95" s="102"/>
    </row>
    <row r="96" spans="2:4" x14ac:dyDescent="0.3">
      <c r="B96" s="97" t="s">
        <v>195</v>
      </c>
      <c r="C96" s="102">
        <v>10.162311319000009</v>
      </c>
      <c r="D96" s="102"/>
    </row>
    <row r="97" spans="2:4" x14ac:dyDescent="0.3">
      <c r="B97" s="97" t="s">
        <v>196</v>
      </c>
      <c r="C97" s="102">
        <v>7.8750674089999917</v>
      </c>
      <c r="D97" s="102"/>
    </row>
    <row r="98" spans="2:4" x14ac:dyDescent="0.3">
      <c r="B98" s="97" t="s">
        <v>197</v>
      </c>
      <c r="C98" s="102">
        <v>14.368754567000018</v>
      </c>
      <c r="D98" s="102"/>
    </row>
    <row r="99" spans="2:4" x14ac:dyDescent="0.3">
      <c r="B99" s="97" t="s">
        <v>198</v>
      </c>
      <c r="C99" s="102">
        <v>3.7548775860000054</v>
      </c>
      <c r="D99" s="102"/>
    </row>
    <row r="100" spans="2:4" x14ac:dyDescent="0.3">
      <c r="B100" s="97" t="s">
        <v>199</v>
      </c>
      <c r="C100" s="102">
        <v>5.4097390369999987</v>
      </c>
      <c r="D100" s="102"/>
    </row>
    <row r="101" spans="2:4" x14ac:dyDescent="0.3">
      <c r="B101" s="97" t="s">
        <v>200</v>
      </c>
      <c r="C101" s="102">
        <v>2.7399259999999991E-2</v>
      </c>
      <c r="D101" s="102"/>
    </row>
    <row r="102" spans="2:4" x14ac:dyDescent="0.3">
      <c r="B102" s="97"/>
      <c r="C102" s="102"/>
      <c r="D102" s="102"/>
    </row>
    <row r="103" spans="2:4" x14ac:dyDescent="0.3">
      <c r="B103" s="97"/>
      <c r="C103" s="102"/>
      <c r="D103" s="102"/>
    </row>
    <row r="104" spans="2:4" x14ac:dyDescent="0.3">
      <c r="B104" s="93" t="s">
        <v>201</v>
      </c>
      <c r="C104" s="94">
        <f>SUM(C81:C102)</f>
        <v>381.1561253479997</v>
      </c>
      <c r="D104" s="94"/>
    </row>
    <row r="105" spans="2:4" x14ac:dyDescent="0.3">
      <c r="B105" s="97"/>
      <c r="C105" s="102"/>
      <c r="D105" s="102"/>
    </row>
    <row r="106" spans="2:4" x14ac:dyDescent="0.3">
      <c r="B106" s="56" t="s">
        <v>202</v>
      </c>
      <c r="C106" s="103"/>
      <c r="D106" s="103"/>
    </row>
    <row r="107" spans="2:4" x14ac:dyDescent="0.3">
      <c r="B107" s="56" t="s">
        <v>203</v>
      </c>
    </row>
    <row r="108" spans="2:4" x14ac:dyDescent="0.3">
      <c r="B108" s="104" t="s">
        <v>181</v>
      </c>
      <c r="C108" s="105">
        <v>-0.86351670199999975</v>
      </c>
      <c r="D108" s="102"/>
    </row>
    <row r="109" spans="2:4" x14ac:dyDescent="0.3">
      <c r="B109" s="104" t="s">
        <v>183</v>
      </c>
      <c r="C109" s="105">
        <v>9.1145121909999975</v>
      </c>
      <c r="D109" s="102"/>
    </row>
    <row r="110" spans="2:4" x14ac:dyDescent="0.3">
      <c r="B110" s="104" t="s">
        <v>182</v>
      </c>
      <c r="C110" s="105">
        <v>3.7190008870000026</v>
      </c>
      <c r="D110" s="102"/>
    </row>
    <row r="111" spans="2:4" x14ac:dyDescent="0.3">
      <c r="B111" s="104" t="s">
        <v>185</v>
      </c>
      <c r="C111" s="105">
        <v>1.9749970929999958</v>
      </c>
      <c r="D111" s="102"/>
    </row>
    <row r="112" spans="2:4" x14ac:dyDescent="0.3">
      <c r="B112" s="104" t="s">
        <v>184</v>
      </c>
      <c r="C112" s="106">
        <v>2.1842873909999998</v>
      </c>
      <c r="D112" s="102"/>
    </row>
    <row r="113" spans="2:4" x14ac:dyDescent="0.3">
      <c r="B113" s="42" t="s">
        <v>204</v>
      </c>
      <c r="C113" s="94">
        <f>SUM(C108:C112)</f>
        <v>16.129280859999994</v>
      </c>
      <c r="D113" s="94"/>
    </row>
    <row r="114" spans="2:4" x14ac:dyDescent="0.3">
      <c r="B114" s="56"/>
      <c r="C114" s="102"/>
      <c r="D114" s="102"/>
    </row>
    <row r="115" spans="2:4" x14ac:dyDescent="0.3">
      <c r="B115" s="56" t="s">
        <v>205</v>
      </c>
      <c r="C115" s="102"/>
      <c r="D115" s="102"/>
    </row>
    <row r="116" spans="2:4" x14ac:dyDescent="0.3">
      <c r="B116" s="56" t="s">
        <v>206</v>
      </c>
      <c r="C116" s="103"/>
      <c r="D116" s="103"/>
    </row>
    <row r="117" spans="2:4" x14ac:dyDescent="0.3">
      <c r="B117" s="56" t="s">
        <v>207</v>
      </c>
      <c r="C117" s="102"/>
      <c r="D117" s="102"/>
    </row>
    <row r="118" spans="2:4" x14ac:dyDescent="0.3">
      <c r="B118" s="104" t="s">
        <v>183</v>
      </c>
      <c r="C118" s="106">
        <f>0.010250224+0.56+0.39</f>
        <v>0.96025022400000004</v>
      </c>
      <c r="D118" s="107"/>
    </row>
    <row r="119" spans="2:4" x14ac:dyDescent="0.3">
      <c r="B119" s="104" t="s">
        <v>181</v>
      </c>
      <c r="C119" s="106">
        <v>9.9316440000000016E-3</v>
      </c>
      <c r="D119" s="107"/>
    </row>
    <row r="120" spans="2:4" x14ac:dyDescent="0.3">
      <c r="B120" s="93" t="s">
        <v>208</v>
      </c>
      <c r="C120" s="94">
        <f>SUM(C118:C119)</f>
        <v>0.97018186800000006</v>
      </c>
      <c r="D120" s="94"/>
    </row>
    <row r="121" spans="2:4" x14ac:dyDescent="0.3">
      <c r="B121" s="97"/>
      <c r="C121" s="102"/>
      <c r="D121" s="102"/>
    </row>
    <row r="122" spans="2:4" x14ac:dyDescent="0.3">
      <c r="B122" s="56" t="s">
        <v>209</v>
      </c>
      <c r="C122" s="102"/>
      <c r="D122" s="102"/>
    </row>
    <row r="123" spans="2:4" x14ac:dyDescent="0.3">
      <c r="B123" s="56" t="s">
        <v>210</v>
      </c>
      <c r="C123" s="100"/>
      <c r="D123" s="100"/>
    </row>
    <row r="124" spans="2:4" x14ac:dyDescent="0.3">
      <c r="B124" s="104" t="s">
        <v>211</v>
      </c>
      <c r="C124" s="106">
        <v>54.572182044999998</v>
      </c>
      <c r="D124" s="107"/>
    </row>
    <row r="125" spans="2:4" x14ac:dyDescent="0.3">
      <c r="B125" s="104" t="s">
        <v>212</v>
      </c>
      <c r="C125" s="106">
        <v>39.592444156000013</v>
      </c>
      <c r="D125" s="107"/>
    </row>
    <row r="126" spans="2:4" x14ac:dyDescent="0.3">
      <c r="B126" s="104" t="s">
        <v>192</v>
      </c>
      <c r="C126" s="106">
        <v>76.288582038999976</v>
      </c>
      <c r="D126" s="107"/>
    </row>
    <row r="127" spans="2:4" x14ac:dyDescent="0.3">
      <c r="B127" s="104" t="s">
        <v>213</v>
      </c>
      <c r="C127" s="106">
        <v>14.800252204000014</v>
      </c>
      <c r="D127" s="107"/>
    </row>
    <row r="128" spans="2:4" x14ac:dyDescent="0.3">
      <c r="B128" s="93" t="s">
        <v>214</v>
      </c>
      <c r="C128" s="100">
        <f>SUM(C124:C127)</f>
        <v>185.25346044399998</v>
      </c>
      <c r="D128" s="100"/>
    </row>
    <row r="129" spans="2:4" x14ac:dyDescent="0.3">
      <c r="B129" s="79"/>
      <c r="C129" s="100"/>
      <c r="D129" s="100"/>
    </row>
    <row r="130" spans="2:4" x14ac:dyDescent="0.3">
      <c r="B130" s="56" t="s">
        <v>215</v>
      </c>
    </row>
    <row r="131" spans="2:4" x14ac:dyDescent="0.3">
      <c r="B131" s="104" t="s">
        <v>183</v>
      </c>
      <c r="C131" s="106">
        <v>5.0472688699999946</v>
      </c>
      <c r="D131" s="102"/>
    </row>
    <row r="132" spans="2:4" x14ac:dyDescent="0.3">
      <c r="B132" s="42" t="s">
        <v>216</v>
      </c>
      <c r="C132" s="103">
        <f>SUM(C131:C131)</f>
        <v>5.0472688699999946</v>
      </c>
      <c r="D132" s="103"/>
    </row>
    <row r="134" spans="2:4" x14ac:dyDescent="0.3">
      <c r="B134" s="79" t="s">
        <v>217</v>
      </c>
      <c r="C134" s="100">
        <f>C132+C128+C120+C113+C104+C71+C31</f>
        <v>3973.9162091179987</v>
      </c>
      <c r="D134" s="100"/>
    </row>
    <row r="135" spans="2:4" x14ac:dyDescent="0.3">
      <c r="B135" s="79"/>
      <c r="C135" s="100"/>
      <c r="D135" s="100"/>
    </row>
    <row r="136" spans="2:4" x14ac:dyDescent="0.3">
      <c r="B136" s="56" t="s">
        <v>218</v>
      </c>
      <c r="C136" s="67"/>
      <c r="D136" s="69" t="s">
        <v>219</v>
      </c>
    </row>
    <row r="137" spans="2:4" x14ac:dyDescent="0.3">
      <c r="B137" s="97" t="s">
        <v>139</v>
      </c>
      <c r="C137" s="108">
        <v>87.600940000000008</v>
      </c>
      <c r="D137" s="127" t="s">
        <v>220</v>
      </c>
    </row>
    <row r="138" spans="2:4" x14ac:dyDescent="0.3">
      <c r="B138" s="97" t="s">
        <v>140</v>
      </c>
      <c r="C138" s="108">
        <v>247.51824299999998</v>
      </c>
      <c r="D138" s="127" t="s">
        <v>221</v>
      </c>
    </row>
    <row r="139" spans="2:4" x14ac:dyDescent="0.3">
      <c r="B139" s="97" t="s">
        <v>170</v>
      </c>
      <c r="C139" s="109">
        <f>3.708999+616.3</f>
        <v>620.0089989999999</v>
      </c>
      <c r="D139" s="127" t="s">
        <v>222</v>
      </c>
    </row>
    <row r="140" spans="2:4" x14ac:dyDescent="0.3">
      <c r="B140" s="90" t="s">
        <v>126</v>
      </c>
      <c r="C140" s="108">
        <v>7.7644630000000001</v>
      </c>
      <c r="D140" s="127" t="s">
        <v>223</v>
      </c>
    </row>
    <row r="141" spans="2:4" x14ac:dyDescent="0.3">
      <c r="B141" s="97" t="s">
        <v>149</v>
      </c>
      <c r="C141" s="109">
        <v>1809.4772849999999</v>
      </c>
      <c r="D141" s="127" t="s">
        <v>224</v>
      </c>
    </row>
    <row r="142" spans="2:4" x14ac:dyDescent="0.3">
      <c r="B142" s="90" t="s">
        <v>134</v>
      </c>
      <c r="C142" s="109">
        <v>11.05</v>
      </c>
      <c r="D142" s="127" t="s">
        <v>225</v>
      </c>
    </row>
    <row r="143" spans="2:4" x14ac:dyDescent="0.3">
      <c r="B143" s="90" t="s">
        <v>226</v>
      </c>
      <c r="C143" s="109">
        <v>19.679212</v>
      </c>
      <c r="D143" s="127" t="s">
        <v>227</v>
      </c>
    </row>
    <row r="144" spans="2:4" x14ac:dyDescent="0.3">
      <c r="B144" s="97" t="s">
        <v>150</v>
      </c>
      <c r="C144" s="109">
        <v>110.8662692</v>
      </c>
      <c r="D144" s="127" t="s">
        <v>228</v>
      </c>
    </row>
    <row r="145" spans="2:4" x14ac:dyDescent="0.3">
      <c r="B145" s="90" t="s">
        <v>151</v>
      </c>
      <c r="C145" s="109">
        <v>18.205824</v>
      </c>
      <c r="D145" s="127" t="s">
        <v>229</v>
      </c>
    </row>
    <row r="146" spans="2:4" x14ac:dyDescent="0.3">
      <c r="B146" s="97" t="s">
        <v>156</v>
      </c>
      <c r="C146" s="109">
        <v>86.197262000000009</v>
      </c>
      <c r="D146" s="127" t="s">
        <v>230</v>
      </c>
    </row>
    <row r="147" spans="2:4" x14ac:dyDescent="0.3">
      <c r="B147" s="90" t="s">
        <v>124</v>
      </c>
      <c r="C147" s="109">
        <v>382.44265499999995</v>
      </c>
      <c r="D147" s="127" t="s">
        <v>231</v>
      </c>
    </row>
    <row r="148" spans="2:4" x14ac:dyDescent="0.3">
      <c r="B148" s="90" t="s">
        <v>133</v>
      </c>
      <c r="C148" s="109">
        <v>13.571999999999999</v>
      </c>
      <c r="D148" s="127" t="s">
        <v>232</v>
      </c>
    </row>
    <row r="149" spans="2:4" x14ac:dyDescent="0.3">
      <c r="B149" s="90" t="s">
        <v>122</v>
      </c>
      <c r="C149" s="109">
        <v>155.46100000000001</v>
      </c>
      <c r="D149" s="127" t="s">
        <v>233</v>
      </c>
    </row>
    <row r="150" spans="2:4" ht="15.75" customHeight="1" x14ac:dyDescent="0.3">
      <c r="B150" s="97" t="s">
        <v>161</v>
      </c>
      <c r="C150" s="109">
        <v>296.83662400000003</v>
      </c>
      <c r="D150" s="127" t="s">
        <v>234</v>
      </c>
    </row>
    <row r="151" spans="2:4" x14ac:dyDescent="0.3">
      <c r="B151" s="97" t="s">
        <v>127</v>
      </c>
      <c r="C151" s="109">
        <f>198.132+61.457</f>
        <v>259.589</v>
      </c>
      <c r="D151" s="127" t="s">
        <v>235</v>
      </c>
    </row>
    <row r="152" spans="2:4" ht="18" customHeight="1" x14ac:dyDescent="0.3">
      <c r="B152" s="90" t="s">
        <v>129</v>
      </c>
      <c r="C152" s="109">
        <f>231.49+54.847</f>
        <v>286.33699999999999</v>
      </c>
      <c r="D152" s="127" t="s">
        <v>236</v>
      </c>
    </row>
    <row r="153" spans="2:4" ht="15.75" customHeight="1" x14ac:dyDescent="0.3">
      <c r="B153" s="90" t="s">
        <v>128</v>
      </c>
      <c r="C153" s="109">
        <v>206.63900000000001</v>
      </c>
      <c r="D153" s="127" t="s">
        <v>236</v>
      </c>
    </row>
    <row r="154" spans="2:4" x14ac:dyDescent="0.3">
      <c r="B154" s="68" t="s">
        <v>237</v>
      </c>
      <c r="C154" s="110">
        <f>SUM(C137:C153)</f>
        <v>4619.2457762000004</v>
      </c>
      <c r="D154" s="65"/>
    </row>
    <row r="155" spans="2:4" x14ac:dyDescent="0.3">
      <c r="B155" s="79"/>
      <c r="C155" s="100"/>
      <c r="D155" s="100"/>
    </row>
    <row r="156" spans="2:4" x14ac:dyDescent="0.3">
      <c r="B156" s="79" t="s">
        <v>238</v>
      </c>
      <c r="C156" s="100">
        <f>מאוחד!D29</f>
        <v>1927641.2113900001</v>
      </c>
      <c r="D156" s="100"/>
    </row>
    <row r="159" spans="2:4" x14ac:dyDescent="0.3">
      <c r="B159" s="111"/>
      <c r="C159" s="112"/>
      <c r="D159" s="113"/>
    </row>
    <row r="160" spans="2:4" x14ac:dyDescent="0.3">
      <c r="B160" s="114"/>
      <c r="C160" s="114"/>
      <c r="D160" s="115"/>
    </row>
    <row r="161" spans="2:4" x14ac:dyDescent="0.3">
      <c r="B161" s="114"/>
      <c r="C161" s="114"/>
      <c r="D161" s="115"/>
    </row>
    <row r="162" spans="2:4" x14ac:dyDescent="0.3">
      <c r="B162" s="116"/>
      <c r="C162" s="114"/>
      <c r="D162" s="115"/>
    </row>
    <row r="163" spans="2:4" x14ac:dyDescent="0.3">
      <c r="B163" s="116"/>
      <c r="C163" s="114"/>
      <c r="D163" s="115"/>
    </row>
    <row r="164" spans="2:4" x14ac:dyDescent="0.3">
      <c r="C164" s="117"/>
      <c r="D164" s="74"/>
    </row>
    <row r="165" spans="2:4" x14ac:dyDescent="0.3">
      <c r="B165" s="111"/>
      <c r="C165" s="112"/>
      <c r="D165" s="118"/>
    </row>
    <row r="166" spans="2:4" x14ac:dyDescent="0.3">
      <c r="B166" s="119"/>
      <c r="C166" s="119"/>
      <c r="D166" s="115"/>
    </row>
    <row r="167" spans="2:4" x14ac:dyDescent="0.3">
      <c r="B167" s="119"/>
      <c r="C167" s="119"/>
      <c r="D167" s="115"/>
    </row>
    <row r="168" spans="2:4" x14ac:dyDescent="0.3">
      <c r="C168" s="117"/>
      <c r="D168" s="115"/>
    </row>
    <row r="169" spans="2:4" x14ac:dyDescent="0.3">
      <c r="C169" s="117"/>
      <c r="D169" s="1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9</vt:i4>
      </vt:variant>
      <vt:variant>
        <vt:lpstr>טווחים בעלי שם</vt:lpstr>
      </vt:variant>
      <vt:variant>
        <vt:i4>1</vt:i4>
      </vt:variant>
    </vt:vector>
  </HeadingPairs>
  <TitlesOfParts>
    <vt:vector size="10" baseType="lpstr">
      <vt:lpstr>מאוחד</vt:lpstr>
      <vt:lpstr>לבני 50-60</vt:lpstr>
      <vt:lpstr>לבני 50 ומטה</vt:lpstr>
      <vt:lpstr>לבני 60 ומעלה</vt:lpstr>
      <vt:lpstr>ללא מניות</vt:lpstr>
      <vt:lpstr>מניות</vt:lpstr>
      <vt:lpstr>S&amp;P 500</vt:lpstr>
      <vt:lpstr>נספח 2</vt:lpstr>
      <vt:lpstr>נספח 3</vt:lpstr>
      <vt:lpstr>מאוחד!WPrint_Area_W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Merav Magen</dc:creator>
  <cp:lastModifiedBy>Merav Magen</cp:lastModifiedBy>
  <dcterms:created xsi:type="dcterms:W3CDTF">2025-05-19T11:51:59Z</dcterms:created>
  <dcterms:modified xsi:type="dcterms:W3CDTF">2025-06-18T13:07:53Z</dcterms:modified>
</cp:coreProperties>
</file>